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estão do Risco Bancário_livro\Ficheiros excel\"/>
    </mc:Choice>
  </mc:AlternateContent>
  <xr:revisionPtr revIDLastSave="0" documentId="8_{0FD01D0A-3221-4283-8AED-662F115BAF2B}" xr6:coauthVersionLast="47" xr6:coauthVersionMax="47" xr10:uidLastSave="{00000000-0000-0000-0000-000000000000}"/>
  <bookViews>
    <workbookView xWindow="-120" yWindow="-120" windowWidth="20730" windowHeight="11160" activeTab="1" xr2:uid="{A5ACBF22-DC39-4993-8536-6F63DC42E18D}"/>
  </bookViews>
  <sheets>
    <sheet name="Fórmula" sheetId="1" r:id="rId1"/>
    <sheet name="Exemplo Cap 15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6" l="1"/>
  <c r="Q19" i="6"/>
  <c r="F23" i="6"/>
  <c r="G23" i="6" s="1"/>
  <c r="L22" i="6"/>
  <c r="J22" i="6"/>
  <c r="H22" i="6"/>
  <c r="G22" i="6"/>
  <c r="M22" i="6" s="1"/>
  <c r="G21" i="6"/>
  <c r="L21" i="6" s="1"/>
  <c r="F21" i="6"/>
  <c r="L20" i="6"/>
  <c r="J20" i="6"/>
  <c r="H20" i="6"/>
  <c r="G20" i="6"/>
  <c r="M20" i="6" s="1"/>
  <c r="L19" i="6"/>
  <c r="J19" i="6"/>
  <c r="H19" i="6"/>
  <c r="G19" i="6"/>
  <c r="M19" i="6" s="1"/>
  <c r="L18" i="6"/>
  <c r="J18" i="6"/>
  <c r="H18" i="6"/>
  <c r="G18" i="6"/>
  <c r="M18" i="6" s="1"/>
  <c r="L17" i="6"/>
  <c r="J17" i="6"/>
  <c r="H17" i="6"/>
  <c r="G17" i="6"/>
  <c r="M17" i="6" s="1"/>
  <c r="T15" i="6"/>
  <c r="U11" i="6"/>
  <c r="B10" i="6"/>
  <c r="AE9" i="6"/>
  <c r="AF9" i="6" s="1"/>
  <c r="AG9" i="6" s="1"/>
  <c r="X9" i="6"/>
  <c r="U9" i="6"/>
  <c r="V9" i="6" s="1"/>
  <c r="W9" i="6" s="1"/>
  <c r="T9" i="6"/>
  <c r="AE8" i="6"/>
  <c r="AF8" i="6" s="1"/>
  <c r="AG8" i="6" s="1"/>
  <c r="X8" i="6"/>
  <c r="U8" i="6"/>
  <c r="V8" i="6" s="1"/>
  <c r="W8" i="6" s="1"/>
  <c r="T8" i="6"/>
  <c r="J8" i="6"/>
  <c r="AE7" i="6"/>
  <c r="AF7" i="6" s="1"/>
  <c r="AG7" i="6" s="1"/>
  <c r="X7" i="6"/>
  <c r="U7" i="6"/>
  <c r="V7" i="6" s="1"/>
  <c r="W7" i="6" s="1"/>
  <c r="T7" i="6"/>
  <c r="J7" i="6"/>
  <c r="AF6" i="6"/>
  <c r="AG6" i="6" s="1"/>
  <c r="AE6" i="6"/>
  <c r="X6" i="6"/>
  <c r="U6" i="6"/>
  <c r="V6" i="6" s="1"/>
  <c r="W6" i="6" s="1"/>
  <c r="T6" i="6"/>
  <c r="E6" i="6"/>
  <c r="J10" i="6" s="1"/>
  <c r="AF5" i="6"/>
  <c r="AG5" i="6" s="1"/>
  <c r="AE5" i="6"/>
  <c r="X5" i="6"/>
  <c r="U5" i="6"/>
  <c r="V5" i="6" s="1"/>
  <c r="W5" i="6" s="1"/>
  <c r="T5" i="6"/>
  <c r="B5" i="6"/>
  <c r="AG4" i="6"/>
  <c r="AF4" i="6"/>
  <c r="AE4" i="6"/>
  <c r="X4" i="6"/>
  <c r="V4" i="6"/>
  <c r="W4" i="6" s="1"/>
  <c r="U4" i="6"/>
  <c r="T4" i="6"/>
  <c r="B4" i="6"/>
  <c r="F1" i="6" s="1"/>
  <c r="AE3" i="6"/>
  <c r="AF3" i="6" s="1"/>
  <c r="AG3" i="6" s="1"/>
  <c r="X3" i="6"/>
  <c r="W3" i="6"/>
  <c r="Z14" i="6" s="1"/>
  <c r="V3" i="6"/>
  <c r="U3" i="6"/>
  <c r="T3" i="6"/>
  <c r="AG2" i="6"/>
  <c r="AF2" i="6"/>
  <c r="AE2" i="6"/>
  <c r="X2" i="6"/>
  <c r="V2" i="6"/>
  <c r="W2" i="6" s="1"/>
  <c r="U2" i="6"/>
  <c r="T2" i="6"/>
  <c r="Z14" i="1"/>
  <c r="Z15" i="1"/>
  <c r="Z16" i="1"/>
  <c r="Z17" i="1"/>
  <c r="Z18" i="1"/>
  <c r="Z19" i="1"/>
  <c r="Z20" i="1"/>
  <c r="Z13" i="1"/>
  <c r="AE9" i="1"/>
  <c r="AF9" i="1" s="1"/>
  <c r="AG9" i="1" s="1"/>
  <c r="AE8" i="1"/>
  <c r="AF8" i="1" s="1"/>
  <c r="AG8" i="1" s="1"/>
  <c r="AE7" i="1"/>
  <c r="AF7" i="1" s="1"/>
  <c r="AG7" i="1" s="1"/>
  <c r="AE6" i="1"/>
  <c r="AF6" i="1" s="1"/>
  <c r="AG6" i="1" s="1"/>
  <c r="AE5" i="1"/>
  <c r="AF5" i="1" s="1"/>
  <c r="AG5" i="1" s="1"/>
  <c r="AE4" i="1"/>
  <c r="AF4" i="1" s="1"/>
  <c r="AG4" i="1" s="1"/>
  <c r="AE3" i="1"/>
  <c r="AF3" i="1" s="1"/>
  <c r="AG3" i="1" s="1"/>
  <c r="AE2" i="1"/>
  <c r="AF2" i="1" s="1"/>
  <c r="AG2" i="1" s="1"/>
  <c r="W6" i="1"/>
  <c r="W9" i="1"/>
  <c r="W3" i="1"/>
  <c r="W4" i="1"/>
  <c r="W5" i="1"/>
  <c r="W2" i="1"/>
  <c r="T3" i="1"/>
  <c r="T4" i="1"/>
  <c r="T5" i="1"/>
  <c r="T6" i="1"/>
  <c r="T7" i="1"/>
  <c r="T8" i="1"/>
  <c r="T9" i="1"/>
  <c r="T2" i="1"/>
  <c r="X3" i="1"/>
  <c r="X4" i="1"/>
  <c r="X5" i="1"/>
  <c r="X6" i="1"/>
  <c r="X7" i="1"/>
  <c r="X8" i="1"/>
  <c r="X9" i="1"/>
  <c r="X2" i="1"/>
  <c r="T15" i="1"/>
  <c r="V3" i="1"/>
  <c r="Y3" i="1" s="1"/>
  <c r="Z3" i="1" s="1"/>
  <c r="AA3" i="1" s="1"/>
  <c r="V4" i="1"/>
  <c r="Y4" i="1" s="1"/>
  <c r="Z4" i="1" s="1"/>
  <c r="AA4" i="1" s="1"/>
  <c r="V9" i="1"/>
  <c r="V2" i="1"/>
  <c r="U11" i="1"/>
  <c r="U3" i="1"/>
  <c r="U4" i="1"/>
  <c r="U5" i="1"/>
  <c r="V5" i="1" s="1"/>
  <c r="Y5" i="1" s="1"/>
  <c r="Z5" i="1" s="1"/>
  <c r="AA5" i="1" s="1"/>
  <c r="U6" i="1"/>
  <c r="U7" i="1"/>
  <c r="V7" i="1" s="1"/>
  <c r="U8" i="1"/>
  <c r="V8" i="1" s="1"/>
  <c r="U9" i="1"/>
  <c r="U2" i="1"/>
  <c r="N7" i="1"/>
  <c r="J18" i="1"/>
  <c r="J19" i="1"/>
  <c r="J20" i="1"/>
  <c r="J21" i="1"/>
  <c r="J22" i="1"/>
  <c r="J23" i="1"/>
  <c r="J24" i="1"/>
  <c r="J25" i="1"/>
  <c r="J26" i="1"/>
  <c r="J27" i="1"/>
  <c r="J17" i="1"/>
  <c r="G27" i="1"/>
  <c r="H27" i="1" s="1"/>
  <c r="K27" i="1"/>
  <c r="L27" i="1"/>
  <c r="G21" i="1"/>
  <c r="H21" i="1" s="1"/>
  <c r="K21" i="1"/>
  <c r="L21" i="1"/>
  <c r="M21" i="1"/>
  <c r="G22" i="1"/>
  <c r="I22" i="1" s="1"/>
  <c r="L22" i="1"/>
  <c r="G23" i="1"/>
  <c r="H23" i="1" s="1"/>
  <c r="I23" i="1"/>
  <c r="L23" i="1"/>
  <c r="G24" i="1"/>
  <c r="K24" i="1" s="1"/>
  <c r="L24" i="1"/>
  <c r="G25" i="1"/>
  <c r="H25" i="1" s="1"/>
  <c r="I25" i="1"/>
  <c r="L25" i="1"/>
  <c r="G26" i="1"/>
  <c r="K26" i="1" s="1"/>
  <c r="L26" i="1"/>
  <c r="F27" i="1"/>
  <c r="F24" i="1"/>
  <c r="F25" i="1"/>
  <c r="F26" i="1"/>
  <c r="F23" i="1"/>
  <c r="F21" i="1"/>
  <c r="K17" i="1"/>
  <c r="L17" i="1"/>
  <c r="M17" i="1"/>
  <c r="K18" i="1"/>
  <c r="L18" i="1"/>
  <c r="M18" i="1"/>
  <c r="K19" i="1"/>
  <c r="L19" i="1"/>
  <c r="M19" i="1"/>
  <c r="K20" i="1"/>
  <c r="L20" i="1"/>
  <c r="M20" i="1"/>
  <c r="I17" i="1"/>
  <c r="I18" i="1"/>
  <c r="I19" i="1"/>
  <c r="I20" i="1"/>
  <c r="H18" i="1"/>
  <c r="H19" i="1"/>
  <c r="H20" i="1"/>
  <c r="H17" i="1"/>
  <c r="G18" i="1"/>
  <c r="G19" i="1"/>
  <c r="G20" i="1"/>
  <c r="G17" i="1"/>
  <c r="N4" i="1"/>
  <c r="J11" i="1"/>
  <c r="J10" i="1"/>
  <c r="N5" i="1"/>
  <c r="J8" i="1"/>
  <c r="J7" i="1"/>
  <c r="F1" i="1"/>
  <c r="B5" i="1"/>
  <c r="B4" i="1"/>
  <c r="E6" i="1"/>
  <c r="B10" i="1"/>
  <c r="J11" i="6" l="1"/>
  <c r="N4" i="6"/>
  <c r="N7" i="6" s="1"/>
  <c r="Y2" i="6"/>
  <c r="Z2" i="6" s="1"/>
  <c r="AA2" i="6" s="1"/>
  <c r="Z13" i="6"/>
  <c r="Y6" i="6"/>
  <c r="Z6" i="6" s="1"/>
  <c r="AA6" i="6" s="1"/>
  <c r="Z17" i="6"/>
  <c r="Z16" i="6"/>
  <c r="Y5" i="6"/>
  <c r="Z5" i="6" s="1"/>
  <c r="AA5" i="6" s="1"/>
  <c r="Y7" i="6"/>
  <c r="Z7" i="6" s="1"/>
  <c r="AA7" i="6" s="1"/>
  <c r="Z18" i="6"/>
  <c r="Z15" i="6"/>
  <c r="Y4" i="6"/>
  <c r="Z4" i="6" s="1"/>
  <c r="AA4" i="6" s="1"/>
  <c r="Y8" i="6"/>
  <c r="Z8" i="6" s="1"/>
  <c r="AA8" i="6" s="1"/>
  <c r="Z19" i="6"/>
  <c r="Y9" i="6"/>
  <c r="Z9" i="6" s="1"/>
  <c r="AA9" i="6" s="1"/>
  <c r="Z20" i="6"/>
  <c r="M23" i="6"/>
  <c r="I23" i="6"/>
  <c r="L23" i="6"/>
  <c r="H23" i="6"/>
  <c r="K23" i="6"/>
  <c r="J23" i="6"/>
  <c r="Y3" i="6"/>
  <c r="Z3" i="6" s="1"/>
  <c r="AA3" i="6" s="1"/>
  <c r="N5" i="6"/>
  <c r="I21" i="6"/>
  <c r="M21" i="6"/>
  <c r="F24" i="6"/>
  <c r="K17" i="6"/>
  <c r="K18" i="6"/>
  <c r="K19" i="6"/>
  <c r="K20" i="6"/>
  <c r="J21" i="6"/>
  <c r="K22" i="6"/>
  <c r="K21" i="6"/>
  <c r="I17" i="6"/>
  <c r="I18" i="6"/>
  <c r="I19" i="6"/>
  <c r="I20" i="6"/>
  <c r="H21" i="6"/>
  <c r="I22" i="6"/>
  <c r="W8" i="1"/>
  <c r="Y8" i="1" s="1"/>
  <c r="Z8" i="1" s="1"/>
  <c r="AA8" i="1" s="1"/>
  <c r="W7" i="1"/>
  <c r="Y7" i="1" s="1"/>
  <c r="Z7" i="1" s="1"/>
  <c r="AA7" i="1" s="1"/>
  <c r="Y9" i="1"/>
  <c r="Z9" i="1" s="1"/>
  <c r="AA9" i="1" s="1"/>
  <c r="Y2" i="1"/>
  <c r="Z2" i="1" s="1"/>
  <c r="AA2" i="1" s="1"/>
  <c r="V6" i="1"/>
  <c r="Y6" i="1" s="1"/>
  <c r="Z6" i="1" s="1"/>
  <c r="AA6" i="1" s="1"/>
  <c r="I27" i="1"/>
  <c r="M27" i="1"/>
  <c r="I26" i="1"/>
  <c r="I24" i="1"/>
  <c r="M26" i="1"/>
  <c r="H26" i="1"/>
  <c r="K25" i="1"/>
  <c r="M24" i="1"/>
  <c r="H24" i="1"/>
  <c r="K23" i="1"/>
  <c r="M22" i="1"/>
  <c r="H22" i="1"/>
  <c r="I21" i="1"/>
  <c r="M25" i="1"/>
  <c r="M23" i="1"/>
  <c r="K22" i="1"/>
  <c r="G24" i="6" l="1"/>
  <c r="F25" i="6"/>
  <c r="G25" i="6" l="1"/>
  <c r="F26" i="6"/>
  <c r="M24" i="6"/>
  <c r="I24" i="6"/>
  <c r="L24" i="6"/>
  <c r="H24" i="6"/>
  <c r="K24" i="6"/>
  <c r="J24" i="6"/>
  <c r="G26" i="6" l="1"/>
  <c r="F27" i="6"/>
  <c r="G27" i="6" s="1"/>
  <c r="M25" i="6"/>
  <c r="I25" i="6"/>
  <c r="L25" i="6"/>
  <c r="H25" i="6"/>
  <c r="K25" i="6"/>
  <c r="J25" i="6"/>
  <c r="M27" i="6" l="1"/>
  <c r="I27" i="6"/>
  <c r="L27" i="6"/>
  <c r="H27" i="6"/>
  <c r="K27" i="6"/>
  <c r="J27" i="6"/>
  <c r="M26" i="6"/>
  <c r="I26" i="6"/>
  <c r="L26" i="6"/>
  <c r="H26" i="6"/>
  <c r="K26" i="6"/>
  <c r="J26" i="6"/>
</calcChain>
</file>

<file path=xl/sharedStrings.xml><?xml version="1.0" encoding="utf-8"?>
<sst xmlns="http://schemas.openxmlformats.org/spreadsheetml/2006/main" count="63" uniqueCount="24">
  <si>
    <t>PD</t>
  </si>
  <si>
    <t>EXP(-50PD)</t>
  </si>
  <si>
    <t>Ro</t>
  </si>
  <si>
    <t>1-E(-50PD)</t>
  </si>
  <si>
    <t>1-E(-50)</t>
  </si>
  <si>
    <t>PHI(-1) PD</t>
  </si>
  <si>
    <t>PHI(-1) 0,1%</t>
  </si>
  <si>
    <t>WCDR</t>
  </si>
  <si>
    <t>b(PD)</t>
  </si>
  <si>
    <t>Maturidade</t>
  </si>
  <si>
    <t>Maturidade Ajustada</t>
  </si>
  <si>
    <t>WCDRLN</t>
  </si>
  <si>
    <t>PHI(-1)PD</t>
  </si>
  <si>
    <t>WCDR_INV</t>
  </si>
  <si>
    <t>PHI(-1)(0,999)</t>
  </si>
  <si>
    <t>N(WCDR)</t>
  </si>
  <si>
    <t>RR</t>
  </si>
  <si>
    <t>EAD</t>
  </si>
  <si>
    <t>LGD</t>
  </si>
  <si>
    <t>WCDRLOSS</t>
  </si>
  <si>
    <t>E LOSS</t>
  </si>
  <si>
    <t>UN LOSS</t>
  </si>
  <si>
    <t>CAP</t>
  </si>
  <si>
    <t>RWA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</si>
</sst>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1" applyNumberFormat="1" applyFont="1"/>
    <xf numFmtId="2" fontId="0" fillId="0" borderId="0" xfId="1" applyNumberFormat="1" applyFont="1"/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4</xdr:col>
          <xdr:colOff>371475</xdr:colOff>
          <xdr:row>2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</xdr:row>
          <xdr:rowOff>0</xdr:rowOff>
        </xdr:from>
        <xdr:to>
          <xdr:col>2</xdr:col>
          <xdr:colOff>371475</xdr:colOff>
          <xdr:row>6</xdr:row>
          <xdr:rowOff>85725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12</xdr:col>
          <xdr:colOff>104775</xdr:colOff>
          <xdr:row>4</xdr:row>
          <xdr:rowOff>161925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14</xdr:row>
          <xdr:rowOff>0</xdr:rowOff>
        </xdr:from>
        <xdr:to>
          <xdr:col>2</xdr:col>
          <xdr:colOff>457200</xdr:colOff>
          <xdr:row>16</xdr:row>
          <xdr:rowOff>85725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323850</xdr:colOff>
          <xdr:row>10</xdr:row>
          <xdr:rowOff>57150</xdr:rowOff>
        </xdr:from>
        <xdr:to>
          <xdr:col>14</xdr:col>
          <xdr:colOff>457200</xdr:colOff>
          <xdr:row>13</xdr:row>
          <xdr:rowOff>38100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4</xdr:col>
          <xdr:colOff>371475</xdr:colOff>
          <xdr:row>2</xdr:row>
          <xdr:rowOff>104775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</xdr:row>
          <xdr:rowOff>0</xdr:rowOff>
        </xdr:from>
        <xdr:to>
          <xdr:col>2</xdr:col>
          <xdr:colOff>371475</xdr:colOff>
          <xdr:row>6</xdr:row>
          <xdr:rowOff>85725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12</xdr:col>
          <xdr:colOff>104775</xdr:colOff>
          <xdr:row>4</xdr:row>
          <xdr:rowOff>161925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14</xdr:row>
          <xdr:rowOff>0</xdr:rowOff>
        </xdr:from>
        <xdr:to>
          <xdr:col>2</xdr:col>
          <xdr:colOff>457200</xdr:colOff>
          <xdr:row>16</xdr:row>
          <xdr:rowOff>85725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323850</xdr:colOff>
          <xdr:row>10</xdr:row>
          <xdr:rowOff>57150</xdr:rowOff>
        </xdr:from>
        <xdr:to>
          <xdr:col>14</xdr:col>
          <xdr:colOff>457200</xdr:colOff>
          <xdr:row>13</xdr:row>
          <xdr:rowOff>38100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16</xdr:row>
          <xdr:rowOff>0</xdr:rowOff>
        </xdr:from>
        <xdr:to>
          <xdr:col>18</xdr:col>
          <xdr:colOff>581025</xdr:colOff>
          <xdr:row>17</xdr:row>
          <xdr:rowOff>47625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5.w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wmf"/><Relationship Id="rId11" Type="http://schemas.openxmlformats.org/officeDocument/2006/relationships/oleObject" Target="../embeddings/oleObject5.bin"/><Relationship Id="rId5" Type="http://schemas.openxmlformats.org/officeDocument/2006/relationships/oleObject" Target="../embeddings/oleObject2.bin"/><Relationship Id="rId10" Type="http://schemas.openxmlformats.org/officeDocument/2006/relationships/image" Target="../media/image4.wmf"/><Relationship Id="rId4" Type="http://schemas.openxmlformats.org/officeDocument/2006/relationships/image" Target="../media/image1.wmf"/><Relationship Id="rId9" Type="http://schemas.openxmlformats.org/officeDocument/2006/relationships/oleObject" Target="../embeddings/oleObject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13" Type="http://schemas.openxmlformats.org/officeDocument/2006/relationships/oleObject" Target="../embeddings/oleObject11.bin"/><Relationship Id="rId3" Type="http://schemas.openxmlformats.org/officeDocument/2006/relationships/oleObject" Target="../embeddings/oleObject6.bin"/><Relationship Id="rId7" Type="http://schemas.openxmlformats.org/officeDocument/2006/relationships/oleObject" Target="../embeddings/oleObject8.bin"/><Relationship Id="rId12" Type="http://schemas.openxmlformats.org/officeDocument/2006/relationships/image" Target="../media/image5.wmf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2.wmf"/><Relationship Id="rId11" Type="http://schemas.openxmlformats.org/officeDocument/2006/relationships/oleObject" Target="../embeddings/oleObject10.bin"/><Relationship Id="rId5" Type="http://schemas.openxmlformats.org/officeDocument/2006/relationships/oleObject" Target="../embeddings/oleObject7.bin"/><Relationship Id="rId10" Type="http://schemas.openxmlformats.org/officeDocument/2006/relationships/image" Target="../media/image4.wmf"/><Relationship Id="rId4" Type="http://schemas.openxmlformats.org/officeDocument/2006/relationships/image" Target="../media/image1.wmf"/><Relationship Id="rId9" Type="http://schemas.openxmlformats.org/officeDocument/2006/relationships/oleObject" Target="../embeddings/oleObject9.bin"/><Relationship Id="rId14" Type="http://schemas.openxmlformats.org/officeDocument/2006/relationships/image" Target="../media/image6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890DC-F9F3-4C14-96C0-ADB7A9F9D459}">
  <dimension ref="A1:AG27"/>
  <sheetViews>
    <sheetView workbookViewId="0">
      <selection activeCell="E16" sqref="E16"/>
    </sheetView>
  </sheetViews>
  <sheetFormatPr defaultRowHeight="15" x14ac:dyDescent="0.25"/>
  <cols>
    <col min="6" max="6" width="9.140625" style="2"/>
  </cols>
  <sheetData>
    <row r="1" spans="1:33" x14ac:dyDescent="0.25">
      <c r="F1" s="2">
        <f>0.12*(B4/B5)+0.24*(1-(B4/B5))</f>
        <v>0.12080855363989025</v>
      </c>
      <c r="S1" t="s">
        <v>0</v>
      </c>
      <c r="T1" t="s">
        <v>2</v>
      </c>
      <c r="U1" t="s">
        <v>12</v>
      </c>
      <c r="V1" t="s">
        <v>13</v>
      </c>
      <c r="W1" t="s">
        <v>15</v>
      </c>
      <c r="X1" t="s">
        <v>20</v>
      </c>
      <c r="Y1" t="s">
        <v>19</v>
      </c>
      <c r="Z1" t="s">
        <v>21</v>
      </c>
      <c r="AA1" t="s">
        <v>22</v>
      </c>
      <c r="AC1" t="s">
        <v>0</v>
      </c>
      <c r="AD1" t="s">
        <v>2</v>
      </c>
      <c r="AE1" t="s">
        <v>12</v>
      </c>
      <c r="AF1" t="s">
        <v>13</v>
      </c>
      <c r="AG1" t="s">
        <v>15</v>
      </c>
    </row>
    <row r="2" spans="1:33" x14ac:dyDescent="0.25">
      <c r="S2" s="5">
        <v>1E-3</v>
      </c>
      <c r="T2">
        <f>0.12*(1+EXP(-50*S2))</f>
        <v>0.23414753094008567</v>
      </c>
      <c r="U2">
        <f>_xlfn.NORM.S.INV(S2)</f>
        <v>-3.0902323061678132</v>
      </c>
      <c r="V2">
        <f>(U2+SQRT(T2)*$U$11)/SQRT(1-T2)</f>
        <v>-1.8224792148556599</v>
      </c>
      <c r="W2" s="6">
        <f>_xlfn.NORM.S.DIST(V2, TRUE)</f>
        <v>3.4191152357220291E-2</v>
      </c>
      <c r="X2">
        <f>$T$15*S2</f>
        <v>0.06</v>
      </c>
      <c r="Y2">
        <f>$T$15*W2</f>
        <v>2.0514691414332176</v>
      </c>
      <c r="Z2">
        <f>Y2-X2</f>
        <v>1.9914691414332175</v>
      </c>
      <c r="AA2">
        <f>Z2*12.5</f>
        <v>24.893364267915217</v>
      </c>
      <c r="AC2" s="5">
        <v>1E-3</v>
      </c>
      <c r="AD2">
        <v>0.23414753094008567</v>
      </c>
      <c r="AE2">
        <f>_xlfn.NORM.S.INV(AC2)</f>
        <v>-3.0902323061678132</v>
      </c>
      <c r="AF2">
        <f>(AE2+SQRT(AD2)*$U$11)/SQRT(1-AD2)</f>
        <v>-1.8224792148556599</v>
      </c>
      <c r="AG2" s="6">
        <f>_xlfn.NORM.S.DIST(AF2, TRUE)</f>
        <v>3.4191152357220291E-2</v>
      </c>
    </row>
    <row r="3" spans="1:33" x14ac:dyDescent="0.25">
      <c r="S3" s="5">
        <v>5.0000000000000001E-3</v>
      </c>
      <c r="T3">
        <f t="shared" ref="T3:T9" si="0">0.12*(1+EXP(-50*S3))</f>
        <v>0.2134560939685686</v>
      </c>
      <c r="U3">
        <f t="shared" ref="U3:U9" si="1">_xlfn.NORM.S.INV(S3)</f>
        <v>-2.5758293035488999</v>
      </c>
      <c r="V3">
        <f t="shared" ref="V3:V9" si="2">(U3+SQRT(T3)*$U$11)/SQRT(1-T3)</f>
        <v>-1.2945499461336956</v>
      </c>
      <c r="W3" s="6">
        <f t="shared" ref="W3:W9" si="3">_xlfn.NORM.S.DIST(V3, TRUE)</f>
        <v>9.7737764437350563E-2</v>
      </c>
      <c r="X3">
        <f t="shared" ref="X3:X9" si="4">$T$15*S3</f>
        <v>0.3</v>
      </c>
      <c r="Y3">
        <f t="shared" ref="Y3:Y9" si="5">$T$15*W3</f>
        <v>5.8642658662410341</v>
      </c>
      <c r="Z3">
        <f t="shared" ref="Z3:Z9" si="6">Y3-X3</f>
        <v>5.5642658662410343</v>
      </c>
      <c r="AA3">
        <f t="shared" ref="AA3:AA9" si="7">Z3*12.5</f>
        <v>69.553323328012922</v>
      </c>
      <c r="AC3" s="5">
        <v>5.0000000000000001E-3</v>
      </c>
      <c r="AD3">
        <v>0.23414753094008567</v>
      </c>
      <c r="AE3">
        <f t="shared" ref="AE3:AE9" si="8">_xlfn.NORM.S.INV(AC3)</f>
        <v>-2.5758293035488999</v>
      </c>
      <c r="AF3">
        <f t="shared" ref="AF3:AF9" si="9">(AE3+SQRT(AD3)*$U$11)/SQRT(1-AD3)</f>
        <v>-1.2346773812019423</v>
      </c>
      <c r="AG3" s="6">
        <f t="shared" ref="AG3:AG5" si="10">_xlfn.NORM.S.DIST(AF3, TRUE)</f>
        <v>0.10847529859055484</v>
      </c>
    </row>
    <row r="4" spans="1:33" x14ac:dyDescent="0.25">
      <c r="A4" t="s">
        <v>3</v>
      </c>
      <c r="B4">
        <f>(1-EXP(-50*B9))</f>
        <v>0.99326205300091452</v>
      </c>
      <c r="N4">
        <f>(J7-SQRT(E6)*J8)/SQRT(1-E6)</f>
        <v>-0.22125829429620245</v>
      </c>
      <c r="S4" s="1">
        <v>0.01</v>
      </c>
      <c r="T4">
        <f t="shared" si="0"/>
        <v>0.192783679165516</v>
      </c>
      <c r="U4">
        <f t="shared" si="1"/>
        <v>-2.3263478740408408</v>
      </c>
      <c r="V4">
        <f t="shared" si="2"/>
        <v>-1.0790950517201592</v>
      </c>
      <c r="W4" s="6">
        <f t="shared" si="3"/>
        <v>0.14027267845651592</v>
      </c>
      <c r="X4">
        <f t="shared" si="4"/>
        <v>0.6</v>
      </c>
      <c r="Y4">
        <f t="shared" si="5"/>
        <v>8.4163607073909557</v>
      </c>
      <c r="Z4">
        <f t="shared" si="6"/>
        <v>7.816360707390956</v>
      </c>
      <c r="AA4">
        <f t="shared" si="7"/>
        <v>97.704508842386957</v>
      </c>
      <c r="AC4" s="1">
        <v>0.01</v>
      </c>
      <c r="AD4">
        <v>0.23414753094008567</v>
      </c>
      <c r="AE4">
        <f t="shared" si="8"/>
        <v>-2.3263478740408408</v>
      </c>
      <c r="AF4">
        <f t="shared" si="9"/>
        <v>-0.9495980932102509</v>
      </c>
      <c r="AG4" s="6">
        <f t="shared" si="10"/>
        <v>0.17115825386101866</v>
      </c>
    </row>
    <row r="5" spans="1:33" x14ac:dyDescent="0.25">
      <c r="A5" t="s">
        <v>4</v>
      </c>
      <c r="B5">
        <f>(1-EXP(-50))</f>
        <v>1</v>
      </c>
      <c r="M5" t="s">
        <v>7</v>
      </c>
      <c r="N5">
        <f>_xlfn.NORM.S.DIST(N4,TRUE)</f>
        <v>0.41244566076606076</v>
      </c>
      <c r="S5" s="1">
        <v>0.02</v>
      </c>
      <c r="T5">
        <f t="shared" si="0"/>
        <v>0.16414553294057307</v>
      </c>
      <c r="U5">
        <f t="shared" si="1"/>
        <v>-2.0537489106318225</v>
      </c>
      <c r="V5">
        <f t="shared" si="2"/>
        <v>-0.87694218435238258</v>
      </c>
      <c r="W5" s="6">
        <f t="shared" si="3"/>
        <v>0.19025902093750233</v>
      </c>
      <c r="X5">
        <f t="shared" si="4"/>
        <v>1.2</v>
      </c>
      <c r="Y5">
        <f t="shared" si="5"/>
        <v>11.41554125625014</v>
      </c>
      <c r="Z5">
        <f t="shared" si="6"/>
        <v>10.215541256250141</v>
      </c>
      <c r="AA5">
        <f t="shared" si="7"/>
        <v>127.69426570312676</v>
      </c>
      <c r="AC5" s="1">
        <v>0.02</v>
      </c>
      <c r="AD5">
        <v>0.23414753094008567</v>
      </c>
      <c r="AE5">
        <f t="shared" si="8"/>
        <v>-2.0537489106318225</v>
      </c>
      <c r="AF5">
        <f t="shared" si="9"/>
        <v>-0.63810269032934974</v>
      </c>
      <c r="AG5" s="6">
        <f t="shared" si="10"/>
        <v>0.26170341770057715</v>
      </c>
    </row>
    <row r="6" spans="1:33" x14ac:dyDescent="0.25">
      <c r="D6" t="s">
        <v>2</v>
      </c>
      <c r="E6">
        <f>0.12*(1+B10)</f>
        <v>0.12080855363989024</v>
      </c>
      <c r="S6" s="1">
        <v>0.05</v>
      </c>
      <c r="T6">
        <f t="shared" si="0"/>
        <v>0.12985019983486784</v>
      </c>
      <c r="U6">
        <f t="shared" si="1"/>
        <v>-1.6448536269514726</v>
      </c>
      <c r="V6">
        <f t="shared" si="2"/>
        <v>-0.56956077582118758</v>
      </c>
      <c r="W6" s="6">
        <f>_xlfn.NORM.S.DIST(V6, TRUE)</f>
        <v>0.28448781928666839</v>
      </c>
      <c r="X6">
        <f t="shared" si="4"/>
        <v>3</v>
      </c>
      <c r="Y6">
        <f t="shared" si="5"/>
        <v>17.069269157200104</v>
      </c>
      <c r="Z6">
        <f t="shared" si="6"/>
        <v>14.069269157200104</v>
      </c>
      <c r="AA6">
        <f t="shared" si="7"/>
        <v>175.86586446500129</v>
      </c>
      <c r="AC6" s="1">
        <v>0.05</v>
      </c>
      <c r="AD6">
        <v>0.23414753094008567</v>
      </c>
      <c r="AE6">
        <f t="shared" si="8"/>
        <v>-1.6448536269514726</v>
      </c>
      <c r="AF6">
        <f t="shared" si="9"/>
        <v>-0.17086319853788076</v>
      </c>
      <c r="AG6" s="6">
        <f>_xlfn.NORM.S.DIST(AF6, TRUE)</f>
        <v>0.43216566719172261</v>
      </c>
    </row>
    <row r="7" spans="1:33" x14ac:dyDescent="0.25">
      <c r="I7" t="s">
        <v>5</v>
      </c>
      <c r="J7">
        <f>_xlfn.NORM.S.INV(B9)</f>
        <v>-1.2815515655446006</v>
      </c>
      <c r="M7" t="s">
        <v>11</v>
      </c>
      <c r="N7">
        <f>_xlfn.LOGNORM.DIST(EXP(N4),$J$7,1,TRUE)</f>
        <v>0.8554944002702588</v>
      </c>
      <c r="S7" s="1">
        <v>0.1</v>
      </c>
      <c r="T7">
        <f t="shared" si="0"/>
        <v>0.12080855363989024</v>
      </c>
      <c r="U7">
        <f t="shared" si="1"/>
        <v>-1.2815515655446006</v>
      </c>
      <c r="V7">
        <f t="shared" si="2"/>
        <v>-0.22125829429620245</v>
      </c>
      <c r="W7" s="6">
        <f t="shared" si="3"/>
        <v>0.41244566076606076</v>
      </c>
      <c r="X7">
        <f t="shared" si="4"/>
        <v>6</v>
      </c>
      <c r="Y7">
        <f t="shared" si="5"/>
        <v>24.746739645963647</v>
      </c>
      <c r="Z7">
        <f t="shared" si="6"/>
        <v>18.746739645963647</v>
      </c>
      <c r="AA7">
        <f t="shared" si="7"/>
        <v>234.33424557454558</v>
      </c>
      <c r="AC7" s="1">
        <v>0.1</v>
      </c>
      <c r="AD7">
        <v>0.23414753094008567</v>
      </c>
      <c r="AE7">
        <f t="shared" si="8"/>
        <v>-1.2815515655446006</v>
      </c>
      <c r="AF7">
        <f t="shared" si="9"/>
        <v>0.2442774922783032</v>
      </c>
      <c r="AG7" s="6">
        <f t="shared" ref="AG7:AG9" si="11">_xlfn.NORM.S.DIST(AF7, TRUE)</f>
        <v>0.59649204295109914</v>
      </c>
    </row>
    <row r="8" spans="1:33" x14ac:dyDescent="0.25">
      <c r="I8" t="s">
        <v>6</v>
      </c>
      <c r="J8">
        <f>_xlfn.NORM.S.INV(0.001)</f>
        <v>-3.0902323061678132</v>
      </c>
      <c r="S8" s="1">
        <v>0.15</v>
      </c>
      <c r="T8">
        <f t="shared" si="0"/>
        <v>0.12006637012441773</v>
      </c>
      <c r="U8">
        <f t="shared" si="1"/>
        <v>-1.0364333894937898</v>
      </c>
      <c r="V8">
        <f t="shared" si="2"/>
        <v>3.6619112391547394E-2</v>
      </c>
      <c r="W8" s="6">
        <f t="shared" si="3"/>
        <v>0.51460564786738372</v>
      </c>
      <c r="X8">
        <f t="shared" si="4"/>
        <v>9</v>
      </c>
      <c r="Y8">
        <f t="shared" si="5"/>
        <v>30.876338872043021</v>
      </c>
      <c r="Z8">
        <f t="shared" si="6"/>
        <v>21.876338872043021</v>
      </c>
      <c r="AA8">
        <f t="shared" si="7"/>
        <v>273.45423590053775</v>
      </c>
      <c r="AC8" s="1">
        <v>0.15</v>
      </c>
      <c r="AD8">
        <v>0.23414753094008567</v>
      </c>
      <c r="AE8">
        <f t="shared" si="8"/>
        <v>-1.0364333894937898</v>
      </c>
      <c r="AF8">
        <f t="shared" si="9"/>
        <v>0.52437094548713148</v>
      </c>
      <c r="AG8" s="6">
        <f t="shared" si="11"/>
        <v>0.69998971961597012</v>
      </c>
    </row>
    <row r="9" spans="1:33" x14ac:dyDescent="0.25">
      <c r="A9" t="s">
        <v>0</v>
      </c>
      <c r="B9" s="1">
        <v>0.1</v>
      </c>
      <c r="S9" s="1">
        <v>0.3</v>
      </c>
      <c r="T9">
        <f t="shared" si="0"/>
        <v>0.12000003670827847</v>
      </c>
      <c r="U9">
        <f t="shared" si="1"/>
        <v>-0.52440051270804089</v>
      </c>
      <c r="V9">
        <f t="shared" si="2"/>
        <v>0.58213126796384473</v>
      </c>
      <c r="W9" s="6">
        <f t="shared" si="3"/>
        <v>0.71976086739686396</v>
      </c>
      <c r="X9">
        <f t="shared" si="4"/>
        <v>18</v>
      </c>
      <c r="Y9">
        <f t="shared" si="5"/>
        <v>43.185652043811835</v>
      </c>
      <c r="Z9">
        <f t="shared" si="6"/>
        <v>25.185652043811835</v>
      </c>
      <c r="AA9">
        <f t="shared" si="7"/>
        <v>314.82065054764792</v>
      </c>
      <c r="AC9" s="1">
        <v>0.3</v>
      </c>
      <c r="AD9">
        <v>0.23414753094008567</v>
      </c>
      <c r="AE9">
        <f t="shared" si="8"/>
        <v>-0.52440051270804089</v>
      </c>
      <c r="AF9">
        <f t="shared" si="9"/>
        <v>1.1094644661962685</v>
      </c>
      <c r="AG9" s="6">
        <f t="shared" si="11"/>
        <v>0.86638506733214282</v>
      </c>
    </row>
    <row r="10" spans="1:33" x14ac:dyDescent="0.25">
      <c r="A10" t="s">
        <v>1</v>
      </c>
      <c r="B10">
        <f>EXP(-50*B9)</f>
        <v>6.737946999085467E-3</v>
      </c>
      <c r="J10">
        <f>SQRT(E6)*J8</f>
        <v>-1.0740882629395057</v>
      </c>
    </row>
    <row r="11" spans="1:33" x14ac:dyDescent="0.25">
      <c r="J11">
        <f>J7-J10</f>
        <v>-0.20746330260509493</v>
      </c>
      <c r="S11" t="s">
        <v>14</v>
      </c>
      <c r="U11">
        <f>_xlfn.NORM.S.INV(0.999)</f>
        <v>3.0902323061678132</v>
      </c>
    </row>
    <row r="13" spans="1:33" x14ac:dyDescent="0.25">
      <c r="S13" t="s">
        <v>16</v>
      </c>
      <c r="T13" s="1">
        <v>0.4</v>
      </c>
      <c r="Z13" s="7">
        <f>W2/S2</f>
        <v>34.19115235722029</v>
      </c>
    </row>
    <row r="14" spans="1:33" x14ac:dyDescent="0.25">
      <c r="H14" t="s">
        <v>10</v>
      </c>
      <c r="S14" t="s">
        <v>17</v>
      </c>
      <c r="T14">
        <v>100</v>
      </c>
      <c r="Z14" s="7">
        <f t="shared" ref="Z14:Z20" si="12">W3/S3</f>
        <v>19.547552887470111</v>
      </c>
    </row>
    <row r="15" spans="1:33" x14ac:dyDescent="0.25">
      <c r="H15" t="s">
        <v>9</v>
      </c>
      <c r="S15" t="s">
        <v>18</v>
      </c>
      <c r="T15">
        <f>T14*(1-T13)</f>
        <v>60</v>
      </c>
      <c r="Z15" s="7">
        <f t="shared" si="12"/>
        <v>14.027267845651592</v>
      </c>
    </row>
    <row r="16" spans="1:33" x14ac:dyDescent="0.25">
      <c r="F16" s="2" t="s">
        <v>0</v>
      </c>
      <c r="G16" t="s">
        <v>8</v>
      </c>
      <c r="H16">
        <v>1</v>
      </c>
      <c r="I16">
        <v>2</v>
      </c>
      <c r="J16">
        <v>2.5</v>
      </c>
      <c r="K16">
        <v>3</v>
      </c>
      <c r="L16">
        <v>4</v>
      </c>
      <c r="M16">
        <v>5</v>
      </c>
      <c r="Z16" s="7">
        <f t="shared" si="12"/>
        <v>9.5129510468751164</v>
      </c>
    </row>
    <row r="17" spans="6:26" x14ac:dyDescent="0.25">
      <c r="F17" s="3">
        <v>2.9999999999999997E-4</v>
      </c>
      <c r="G17">
        <f>(0.11852-0.05478*LN(F17))^2</f>
        <v>0.31683441720723071</v>
      </c>
      <c r="H17">
        <f t="shared" ref="H17:M17" si="13">(1+$G17*(H$16-2.5))/(1-1.5*$G17)</f>
        <v>1</v>
      </c>
      <c r="I17">
        <f t="shared" si="13"/>
        <v>1.6037835137589638</v>
      </c>
      <c r="J17">
        <f t="shared" si="13"/>
        <v>1.9056752706384454</v>
      </c>
      <c r="K17">
        <f t="shared" si="13"/>
        <v>2.2075670275179271</v>
      </c>
      <c r="L17">
        <f t="shared" si="13"/>
        <v>2.8113505412768909</v>
      </c>
      <c r="M17">
        <f t="shared" si="13"/>
        <v>3.4151340550358538</v>
      </c>
      <c r="Z17" s="7">
        <f t="shared" si="12"/>
        <v>5.6897563857333671</v>
      </c>
    </row>
    <row r="18" spans="6:26" x14ac:dyDescent="0.25">
      <c r="F18" s="3">
        <v>5.0000000000000001E-4</v>
      </c>
      <c r="G18">
        <f t="shared" ref="G18:G27" si="14">(0.11852-0.05478*LN(F18))^2</f>
        <v>0.28611526782429891</v>
      </c>
      <c r="H18">
        <f t="shared" ref="H18:J27" si="15">(1+$G18*(H$16-2.5))/(1-1.5*$G18)</f>
        <v>1</v>
      </c>
      <c r="I18">
        <f t="shared" si="15"/>
        <v>1.5012293016478331</v>
      </c>
      <c r="J18">
        <f t="shared" si="15"/>
        <v>1.7518439524717495</v>
      </c>
      <c r="K18">
        <f t="shared" ref="K18:M27" si="16">(1+$G18*(K$16-2.5))/(1-1.5*$G18)</f>
        <v>2.0024586032956662</v>
      </c>
      <c r="L18">
        <f t="shared" si="16"/>
        <v>2.5036879049434995</v>
      </c>
      <c r="M18">
        <f t="shared" si="16"/>
        <v>3.0049172065913323</v>
      </c>
      <c r="Z18" s="7">
        <f t="shared" si="12"/>
        <v>4.1244566076606075</v>
      </c>
    </row>
    <row r="19" spans="6:26" x14ac:dyDescent="0.25">
      <c r="F19" s="3">
        <v>1E-3</v>
      </c>
      <c r="G19">
        <f t="shared" si="14"/>
        <v>0.24693627853078248</v>
      </c>
      <c r="H19">
        <f t="shared" si="15"/>
        <v>1</v>
      </c>
      <c r="I19">
        <f t="shared" si="15"/>
        <v>1.3922141220661217</v>
      </c>
      <c r="J19">
        <f t="shared" si="15"/>
        <v>1.5883211830991826</v>
      </c>
      <c r="K19">
        <f t="shared" si="16"/>
        <v>1.7844282441322432</v>
      </c>
      <c r="L19">
        <f t="shared" si="16"/>
        <v>2.1766423661983652</v>
      </c>
      <c r="M19">
        <f t="shared" si="16"/>
        <v>2.5688564882644869</v>
      </c>
      <c r="Z19" s="7">
        <f t="shared" si="12"/>
        <v>3.4307043191158915</v>
      </c>
    </row>
    <row r="20" spans="6:26" x14ac:dyDescent="0.25">
      <c r="F20" s="3">
        <v>5.0000000000000001E-3</v>
      </c>
      <c r="G20">
        <f t="shared" si="14"/>
        <v>0.16708622985488109</v>
      </c>
      <c r="H20">
        <f t="shared" si="15"/>
        <v>1</v>
      </c>
      <c r="I20">
        <f t="shared" si="15"/>
        <v>1.2229687387563175</v>
      </c>
      <c r="J20">
        <f t="shared" si="15"/>
        <v>1.3344531081344764</v>
      </c>
      <c r="K20">
        <f t="shared" si="16"/>
        <v>1.4459374775126352</v>
      </c>
      <c r="L20">
        <f t="shared" si="16"/>
        <v>1.6689062162689525</v>
      </c>
      <c r="M20">
        <f t="shared" si="16"/>
        <v>1.8918749550252705</v>
      </c>
      <c r="Z20" s="7">
        <f t="shared" si="12"/>
        <v>2.3992028913228798</v>
      </c>
    </row>
    <row r="21" spans="6:26" x14ac:dyDescent="0.25">
      <c r="F21" s="3">
        <f>F20+0.5%</f>
        <v>0.01</v>
      </c>
      <c r="G21">
        <f t="shared" si="14"/>
        <v>0.13748613089693737</v>
      </c>
      <c r="H21">
        <f t="shared" si="15"/>
        <v>1</v>
      </c>
      <c r="I21">
        <f t="shared" si="15"/>
        <v>1.1732063339492189</v>
      </c>
      <c r="J21">
        <f t="shared" si="15"/>
        <v>1.2598095009238282</v>
      </c>
      <c r="K21">
        <f t="shared" si="16"/>
        <v>1.3464126678984374</v>
      </c>
      <c r="L21">
        <f t="shared" si="16"/>
        <v>1.5196190018476565</v>
      </c>
      <c r="M21">
        <f t="shared" si="16"/>
        <v>1.692825335796875</v>
      </c>
    </row>
    <row r="22" spans="6:26" x14ac:dyDescent="0.25">
      <c r="F22" s="4">
        <v>0.05</v>
      </c>
      <c r="G22">
        <f t="shared" si="14"/>
        <v>7.9877576809047501E-2</v>
      </c>
      <c r="H22">
        <f t="shared" si="15"/>
        <v>1</v>
      </c>
      <c r="I22">
        <f t="shared" si="15"/>
        <v>1.090751036093087</v>
      </c>
      <c r="J22">
        <f t="shared" si="15"/>
        <v>1.1361265541396302</v>
      </c>
      <c r="K22">
        <f t="shared" si="16"/>
        <v>1.1815020721861735</v>
      </c>
      <c r="L22">
        <f t="shared" si="16"/>
        <v>1.2722531082792605</v>
      </c>
      <c r="M22">
        <f t="shared" si="16"/>
        <v>1.3630041443723471</v>
      </c>
    </row>
    <row r="23" spans="6:26" x14ac:dyDescent="0.25">
      <c r="F23" s="4">
        <f>F22+5%</f>
        <v>0.1</v>
      </c>
      <c r="G23">
        <f t="shared" si="14"/>
        <v>5.985636818667657E-2</v>
      </c>
      <c r="H23">
        <f t="shared" si="15"/>
        <v>1</v>
      </c>
      <c r="I23">
        <f t="shared" si="15"/>
        <v>1.0657606595631968</v>
      </c>
      <c r="J23">
        <f t="shared" si="15"/>
        <v>1.098640989344795</v>
      </c>
      <c r="K23">
        <f t="shared" si="16"/>
        <v>1.1315213191263933</v>
      </c>
      <c r="L23">
        <f t="shared" si="16"/>
        <v>1.1972819786895901</v>
      </c>
      <c r="M23">
        <f t="shared" si="16"/>
        <v>1.2630426382527868</v>
      </c>
    </row>
    <row r="24" spans="6:26" x14ac:dyDescent="0.25">
      <c r="F24" s="4">
        <f t="shared" ref="F24:F26" si="17">F23+5%</f>
        <v>0.15000000000000002</v>
      </c>
      <c r="G24">
        <f t="shared" si="14"/>
        <v>4.9481436693545322E-2</v>
      </c>
      <c r="H24">
        <f t="shared" si="15"/>
        <v>1</v>
      </c>
      <c r="I24">
        <f t="shared" si="15"/>
        <v>1.0534484995109168</v>
      </c>
      <c r="J24">
        <f t="shared" si="15"/>
        <v>1.0801727492663753</v>
      </c>
      <c r="K24">
        <f t="shared" si="16"/>
        <v>1.1068969990218338</v>
      </c>
      <c r="L24">
        <f t="shared" si="16"/>
        <v>1.1603454985327508</v>
      </c>
      <c r="M24">
        <f t="shared" si="16"/>
        <v>1.2137939980436678</v>
      </c>
    </row>
    <row r="25" spans="6:26" x14ac:dyDescent="0.25">
      <c r="F25" s="4">
        <f t="shared" si="17"/>
        <v>0.2</v>
      </c>
      <c r="G25">
        <f t="shared" si="14"/>
        <v>4.2718692880488865E-2</v>
      </c>
      <c r="H25">
        <f t="shared" si="15"/>
        <v>1</v>
      </c>
      <c r="I25">
        <f t="shared" si="15"/>
        <v>1.0456434346828285</v>
      </c>
      <c r="J25">
        <f t="shared" si="15"/>
        <v>1.0684651520242427</v>
      </c>
      <c r="K25">
        <f t="shared" si="16"/>
        <v>1.091286869365657</v>
      </c>
      <c r="L25">
        <f t="shared" si="16"/>
        <v>1.1369303040484853</v>
      </c>
      <c r="M25">
        <f t="shared" si="16"/>
        <v>1.182573738731314</v>
      </c>
    </row>
    <row r="26" spans="6:26" x14ac:dyDescent="0.25">
      <c r="F26" s="4">
        <f t="shared" si="17"/>
        <v>0.25</v>
      </c>
      <c r="G26">
        <f t="shared" si="14"/>
        <v>3.7815160289779513E-2</v>
      </c>
      <c r="H26">
        <f t="shared" si="15"/>
        <v>1</v>
      </c>
      <c r="I26">
        <f t="shared" si="15"/>
        <v>1.0400891253407349</v>
      </c>
      <c r="J26">
        <f t="shared" si="15"/>
        <v>1.0601336880111025</v>
      </c>
      <c r="K26">
        <f t="shared" si="16"/>
        <v>1.0801782506814699</v>
      </c>
      <c r="L26">
        <f t="shared" si="16"/>
        <v>1.1202673760222048</v>
      </c>
      <c r="M26">
        <f t="shared" si="16"/>
        <v>1.1603565013629398</v>
      </c>
    </row>
    <row r="27" spans="6:26" x14ac:dyDescent="0.25">
      <c r="F27" s="4">
        <f>F26+5%</f>
        <v>0.3</v>
      </c>
      <c r="G27">
        <f t="shared" si="14"/>
        <v>3.4030520246904943E-2</v>
      </c>
      <c r="H27">
        <f t="shared" si="15"/>
        <v>1</v>
      </c>
      <c r="I27">
        <f t="shared" si="15"/>
        <v>1.0358610769023044</v>
      </c>
      <c r="J27">
        <f t="shared" si="15"/>
        <v>1.0537916153534568</v>
      </c>
      <c r="K27">
        <f t="shared" si="16"/>
        <v>1.0717221538046091</v>
      </c>
      <c r="L27">
        <f t="shared" si="16"/>
        <v>1.1075832307069136</v>
      </c>
      <c r="M27">
        <f t="shared" si="16"/>
        <v>1.143444307609218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1025" r:id="rId3">
          <objectPr defaultSiz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371475</xdr:colOff>
                <xdr:row>2</xdr:row>
                <xdr:rowOff>104775</xdr:rowOff>
              </to>
            </anchor>
          </objectPr>
        </oleObject>
      </mc:Choice>
      <mc:Fallback>
        <oleObject progId="Equation.DSMT4" shapeId="1025" r:id="rId3"/>
      </mc:Fallback>
    </mc:AlternateContent>
    <mc:AlternateContent xmlns:mc="http://schemas.openxmlformats.org/markup-compatibility/2006">
      <mc:Choice Requires="x14">
        <oleObject progId="Equation.DSMT4" shapeId="1026" r:id="rId5">
          <objectPr defaultSize="0" autoPict="0" r:id="rId6">
            <anchor moveWithCells="1" sizeWithCells="1">
              <from>
                <xdr:col>0</xdr:col>
                <xdr:colOff>0</xdr:colOff>
                <xdr:row>5</xdr:row>
                <xdr:rowOff>0</xdr:rowOff>
              </from>
              <to>
                <xdr:col>2</xdr:col>
                <xdr:colOff>371475</xdr:colOff>
                <xdr:row>6</xdr:row>
                <xdr:rowOff>85725</xdr:rowOff>
              </to>
            </anchor>
          </objectPr>
        </oleObject>
      </mc:Choice>
      <mc:Fallback>
        <oleObject progId="Equation.DSMT4" shapeId="1026" r:id="rId5"/>
      </mc:Fallback>
    </mc:AlternateContent>
    <mc:AlternateContent xmlns:mc="http://schemas.openxmlformats.org/markup-compatibility/2006">
      <mc:Choice Requires="x14">
        <oleObject progId="Equation.DSMT4" shapeId="1027" r:id="rId7">
          <objectPr defaultSize="0" autoPict="0" r:id="rId8">
            <anchor moveWithCells="1" sizeWithCells="1">
              <from>
                <xdr:col>8</xdr:col>
                <xdr:colOff>0</xdr:colOff>
                <xdr:row>2</xdr:row>
                <xdr:rowOff>0</xdr:rowOff>
              </from>
              <to>
                <xdr:col>12</xdr:col>
                <xdr:colOff>104775</xdr:colOff>
                <xdr:row>4</xdr:row>
                <xdr:rowOff>161925</xdr:rowOff>
              </to>
            </anchor>
          </objectPr>
        </oleObject>
      </mc:Choice>
      <mc:Fallback>
        <oleObject progId="Equation.DSMT4" shapeId="1027" r:id="rId7"/>
      </mc:Fallback>
    </mc:AlternateContent>
    <mc:AlternateContent xmlns:mc="http://schemas.openxmlformats.org/markup-compatibility/2006">
      <mc:Choice Requires="x14">
        <oleObject progId="Equation.DSMT4" shapeId="1028" r:id="rId9">
          <objectPr defaultSize="0" autoPict="0" r:id="rId10">
            <anchor moveWithCells="1" sizeWithCells="1">
              <from>
                <xdr:col>0</xdr:col>
                <xdr:colOff>0</xdr:colOff>
                <xdr:row>14</xdr:row>
                <xdr:rowOff>0</xdr:rowOff>
              </from>
              <to>
                <xdr:col>2</xdr:col>
                <xdr:colOff>457200</xdr:colOff>
                <xdr:row>16</xdr:row>
                <xdr:rowOff>85725</xdr:rowOff>
              </to>
            </anchor>
          </objectPr>
        </oleObject>
      </mc:Choice>
      <mc:Fallback>
        <oleObject progId="Equation.DSMT4" shapeId="1028" r:id="rId9"/>
      </mc:Fallback>
    </mc:AlternateContent>
    <mc:AlternateContent xmlns:mc="http://schemas.openxmlformats.org/markup-compatibility/2006">
      <mc:Choice Requires="x14">
        <oleObject progId="Equation.DSMT4" shapeId="1029" r:id="rId11">
          <objectPr defaultSize="0" autoPict="0" r:id="rId12">
            <anchor moveWithCells="1" sizeWithCells="1">
              <from>
                <xdr:col>10</xdr:col>
                <xdr:colOff>323850</xdr:colOff>
                <xdr:row>10</xdr:row>
                <xdr:rowOff>57150</xdr:rowOff>
              </from>
              <to>
                <xdr:col>14</xdr:col>
                <xdr:colOff>457200</xdr:colOff>
                <xdr:row>13</xdr:row>
                <xdr:rowOff>38100</xdr:rowOff>
              </to>
            </anchor>
          </objectPr>
        </oleObject>
      </mc:Choice>
      <mc:Fallback>
        <oleObject progId="Equation.DSMT4" shapeId="1029" r:id="rId1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B028F-2901-425C-8BD6-11FE3AE9BD13}">
  <dimension ref="A1:AG27"/>
  <sheetViews>
    <sheetView tabSelected="1" topLeftCell="C1" workbookViewId="0">
      <selection activeCell="Q19" sqref="Q19"/>
    </sheetView>
  </sheetViews>
  <sheetFormatPr defaultRowHeight="15" x14ac:dyDescent="0.25"/>
  <cols>
    <col min="6" max="6" width="9.140625" style="2"/>
  </cols>
  <sheetData>
    <row r="1" spans="1:33" x14ac:dyDescent="0.25">
      <c r="F1" s="2">
        <f>0.12*(B4/B5)+0.24*(1-(B4/B5))</f>
        <v>0.21345609396856857</v>
      </c>
      <c r="S1" t="s">
        <v>0</v>
      </c>
      <c r="T1" t="s">
        <v>2</v>
      </c>
      <c r="U1" t="s">
        <v>12</v>
      </c>
      <c r="V1" t="s">
        <v>13</v>
      </c>
      <c r="W1" t="s">
        <v>15</v>
      </c>
      <c r="X1" t="s">
        <v>20</v>
      </c>
      <c r="Y1" t="s">
        <v>19</v>
      </c>
      <c r="Z1" t="s">
        <v>21</v>
      </c>
      <c r="AA1" t="s">
        <v>22</v>
      </c>
      <c r="AC1" t="s">
        <v>0</v>
      </c>
      <c r="AD1" t="s">
        <v>2</v>
      </c>
      <c r="AE1" t="s">
        <v>12</v>
      </c>
      <c r="AF1" t="s">
        <v>13</v>
      </c>
      <c r="AG1" t="s">
        <v>15</v>
      </c>
    </row>
    <row r="2" spans="1:33" x14ac:dyDescent="0.25">
      <c r="S2" s="5">
        <v>1E-3</v>
      </c>
      <c r="T2">
        <f>0.12*(1+EXP(-50*S2))</f>
        <v>0.23414753094008567</v>
      </c>
      <c r="U2">
        <f>_xlfn.NORM.S.INV(S2)</f>
        <v>-3.0902323061678132</v>
      </c>
      <c r="V2">
        <f>(U2+SQRT(T2)*$U$11)/SQRT(1-T2)</f>
        <v>-1.8224792148556599</v>
      </c>
      <c r="W2" s="6">
        <f>_xlfn.NORM.S.DIST(V2, TRUE)</f>
        <v>3.4191152357220291E-2</v>
      </c>
      <c r="X2">
        <f>$T$15*S2</f>
        <v>0.06</v>
      </c>
      <c r="Y2">
        <f>$T$15*W2</f>
        <v>2.0514691414332176</v>
      </c>
      <c r="Z2">
        <f>Y2-X2</f>
        <v>1.9914691414332175</v>
      </c>
      <c r="AA2">
        <f>Z2*12.5</f>
        <v>24.893364267915217</v>
      </c>
      <c r="AC2" s="5">
        <v>1E-3</v>
      </c>
      <c r="AD2">
        <v>0.23414753094008567</v>
      </c>
      <c r="AE2">
        <f>_xlfn.NORM.S.INV(AC2)</f>
        <v>-3.0902323061678132</v>
      </c>
      <c r="AF2">
        <f>(AE2+SQRT(AD2)*$U$11)/SQRT(1-AD2)</f>
        <v>-1.8224792148556599</v>
      </c>
      <c r="AG2" s="6">
        <f>_xlfn.NORM.S.DIST(AF2, TRUE)</f>
        <v>3.4191152357220291E-2</v>
      </c>
    </row>
    <row r="3" spans="1:33" x14ac:dyDescent="0.25">
      <c r="S3" s="5">
        <v>5.0000000000000001E-3</v>
      </c>
      <c r="T3">
        <f t="shared" ref="T3:T9" si="0">0.12*(1+EXP(-50*S3))</f>
        <v>0.2134560939685686</v>
      </c>
      <c r="U3">
        <f t="shared" ref="U3:U9" si="1">_xlfn.NORM.S.INV(S3)</f>
        <v>-2.5758293035488999</v>
      </c>
      <c r="V3">
        <f t="shared" ref="V3:V9" si="2">(U3+SQRT(T3)*$U$11)/SQRT(1-T3)</f>
        <v>-1.2945499461336956</v>
      </c>
      <c r="W3" s="6">
        <f t="shared" ref="W3:W9" si="3">_xlfn.NORM.S.DIST(V3, TRUE)</f>
        <v>9.7737764437350563E-2</v>
      </c>
      <c r="X3">
        <f t="shared" ref="X3:X9" si="4">$T$15*S3</f>
        <v>0.3</v>
      </c>
      <c r="Y3">
        <f t="shared" ref="Y3:Y9" si="5">$T$15*W3</f>
        <v>5.8642658662410341</v>
      </c>
      <c r="Z3">
        <f t="shared" ref="Z3:Z9" si="6">Y3-X3</f>
        <v>5.5642658662410343</v>
      </c>
      <c r="AA3">
        <f t="shared" ref="AA3:AA9" si="7">Z3*12.5</f>
        <v>69.553323328012922</v>
      </c>
      <c r="AC3" s="5">
        <v>5.0000000000000001E-3</v>
      </c>
      <c r="AD3">
        <v>0.23414753094008567</v>
      </c>
      <c r="AE3">
        <f t="shared" ref="AE3:AE9" si="8">_xlfn.NORM.S.INV(AC3)</f>
        <v>-2.5758293035488999</v>
      </c>
      <c r="AF3">
        <f t="shared" ref="AF3:AF9" si="9">(AE3+SQRT(AD3)*$U$11)/SQRT(1-AD3)</f>
        <v>-1.2346773812019423</v>
      </c>
      <c r="AG3" s="6">
        <f t="shared" ref="AG3:AG5" si="10">_xlfn.NORM.S.DIST(AF3, TRUE)</f>
        <v>0.10847529859055484</v>
      </c>
    </row>
    <row r="4" spans="1:33" x14ac:dyDescent="0.25">
      <c r="A4" t="s">
        <v>3</v>
      </c>
      <c r="B4">
        <f>(1-EXP(-50*B9))</f>
        <v>0.22119921692859512</v>
      </c>
      <c r="N4">
        <f>(J7-SQRT(E6)*J8)/SQRT(1-E6)</f>
        <v>-1.2945499461336956</v>
      </c>
      <c r="S4" s="1">
        <v>0.01</v>
      </c>
      <c r="T4">
        <f t="shared" si="0"/>
        <v>0.192783679165516</v>
      </c>
      <c r="U4">
        <f t="shared" si="1"/>
        <v>-2.3263478740408408</v>
      </c>
      <c r="V4">
        <f t="shared" si="2"/>
        <v>-1.0790950517201592</v>
      </c>
      <c r="W4" s="6">
        <f t="shared" si="3"/>
        <v>0.14027267845651592</v>
      </c>
      <c r="X4">
        <f t="shared" si="4"/>
        <v>0.6</v>
      </c>
      <c r="Y4">
        <f t="shared" si="5"/>
        <v>8.4163607073909557</v>
      </c>
      <c r="Z4">
        <f t="shared" si="6"/>
        <v>7.816360707390956</v>
      </c>
      <c r="AA4">
        <f t="shared" si="7"/>
        <v>97.704508842386957</v>
      </c>
      <c r="AC4" s="1">
        <v>0.01</v>
      </c>
      <c r="AD4">
        <v>0.23414753094008567</v>
      </c>
      <c r="AE4">
        <f t="shared" si="8"/>
        <v>-2.3263478740408408</v>
      </c>
      <c r="AF4">
        <f t="shared" si="9"/>
        <v>-0.9495980932102509</v>
      </c>
      <c r="AG4" s="6">
        <f t="shared" si="10"/>
        <v>0.17115825386101866</v>
      </c>
    </row>
    <row r="5" spans="1:33" x14ac:dyDescent="0.25">
      <c r="A5" t="s">
        <v>4</v>
      </c>
      <c r="B5">
        <f>(1-EXP(-50))</f>
        <v>1</v>
      </c>
      <c r="M5" t="s">
        <v>7</v>
      </c>
      <c r="N5">
        <f>_xlfn.NORM.S.DIST(N4,TRUE)</f>
        <v>9.7737764437350563E-2</v>
      </c>
      <c r="S5" s="1">
        <v>0.02</v>
      </c>
      <c r="T5">
        <f t="shared" si="0"/>
        <v>0.16414553294057307</v>
      </c>
      <c r="U5">
        <f t="shared" si="1"/>
        <v>-2.0537489106318225</v>
      </c>
      <c r="V5">
        <f t="shared" si="2"/>
        <v>-0.87694218435238258</v>
      </c>
      <c r="W5" s="6">
        <f t="shared" si="3"/>
        <v>0.19025902093750233</v>
      </c>
      <c r="X5">
        <f t="shared" si="4"/>
        <v>1.2</v>
      </c>
      <c r="Y5">
        <f t="shared" si="5"/>
        <v>11.41554125625014</v>
      </c>
      <c r="Z5">
        <f t="shared" si="6"/>
        <v>10.215541256250141</v>
      </c>
      <c r="AA5">
        <f t="shared" si="7"/>
        <v>127.69426570312676</v>
      </c>
      <c r="AC5" s="1">
        <v>0.02</v>
      </c>
      <c r="AD5">
        <v>0.23414753094008567</v>
      </c>
      <c r="AE5">
        <f t="shared" si="8"/>
        <v>-2.0537489106318225</v>
      </c>
      <c r="AF5">
        <f t="shared" si="9"/>
        <v>-0.63810269032934974</v>
      </c>
      <c r="AG5" s="6">
        <f t="shared" si="10"/>
        <v>0.26170341770057715</v>
      </c>
    </row>
    <row r="6" spans="1:33" x14ac:dyDescent="0.25">
      <c r="D6" t="s">
        <v>2</v>
      </c>
      <c r="E6">
        <f>0.12*(1+B10)</f>
        <v>0.2134560939685686</v>
      </c>
      <c r="S6" s="1">
        <v>0.05</v>
      </c>
      <c r="T6">
        <f t="shared" si="0"/>
        <v>0.12985019983486784</v>
      </c>
      <c r="U6">
        <f t="shared" si="1"/>
        <v>-1.6448536269514726</v>
      </c>
      <c r="V6">
        <f t="shared" si="2"/>
        <v>-0.56956077582118758</v>
      </c>
      <c r="W6" s="6">
        <f>_xlfn.NORM.S.DIST(V6, TRUE)</f>
        <v>0.28448781928666839</v>
      </c>
      <c r="X6">
        <f t="shared" si="4"/>
        <v>3</v>
      </c>
      <c r="Y6">
        <f t="shared" si="5"/>
        <v>17.069269157200104</v>
      </c>
      <c r="Z6">
        <f t="shared" si="6"/>
        <v>14.069269157200104</v>
      </c>
      <c r="AA6">
        <f t="shared" si="7"/>
        <v>175.86586446500129</v>
      </c>
      <c r="AC6" s="1">
        <v>0.05</v>
      </c>
      <c r="AD6">
        <v>0.23414753094008567</v>
      </c>
      <c r="AE6">
        <f t="shared" si="8"/>
        <v>-1.6448536269514726</v>
      </c>
      <c r="AF6">
        <f t="shared" si="9"/>
        <v>-0.17086319853788076</v>
      </c>
      <c r="AG6" s="6">
        <f>_xlfn.NORM.S.DIST(AF6, TRUE)</f>
        <v>0.43216566719172261</v>
      </c>
    </row>
    <row r="7" spans="1:33" x14ac:dyDescent="0.25">
      <c r="I7" t="s">
        <v>5</v>
      </c>
      <c r="J7">
        <f>_xlfn.NORM.S.INV(B9)</f>
        <v>-2.5758293035488999</v>
      </c>
      <c r="M7" t="s">
        <v>11</v>
      </c>
      <c r="N7">
        <f>_xlfn.LOGNORM.DIST(EXP(N4),$J$7,1,TRUE)</f>
        <v>0.89995221959435956</v>
      </c>
      <c r="S7" s="1">
        <v>0.1</v>
      </c>
      <c r="T7">
        <f t="shared" si="0"/>
        <v>0.12080855363989024</v>
      </c>
      <c r="U7">
        <f t="shared" si="1"/>
        <v>-1.2815515655446006</v>
      </c>
      <c r="V7">
        <f t="shared" si="2"/>
        <v>-0.22125829429620245</v>
      </c>
      <c r="W7" s="6">
        <f t="shared" si="3"/>
        <v>0.41244566076606076</v>
      </c>
      <c r="X7">
        <f t="shared" si="4"/>
        <v>6</v>
      </c>
      <c r="Y7">
        <f t="shared" si="5"/>
        <v>24.746739645963647</v>
      </c>
      <c r="Z7">
        <f t="shared" si="6"/>
        <v>18.746739645963647</v>
      </c>
      <c r="AA7">
        <f t="shared" si="7"/>
        <v>234.33424557454558</v>
      </c>
      <c r="AC7" s="1">
        <v>0.1</v>
      </c>
      <c r="AD7">
        <v>0.23414753094008567</v>
      </c>
      <c r="AE7">
        <f t="shared" si="8"/>
        <v>-1.2815515655446006</v>
      </c>
      <c r="AF7">
        <f t="shared" si="9"/>
        <v>0.2442774922783032</v>
      </c>
      <c r="AG7" s="6">
        <f t="shared" ref="AG7:AG9" si="11">_xlfn.NORM.S.DIST(AF7, TRUE)</f>
        <v>0.59649204295109914</v>
      </c>
    </row>
    <row r="8" spans="1:33" x14ac:dyDescent="0.25">
      <c r="I8" t="s">
        <v>6</v>
      </c>
      <c r="J8">
        <f>_xlfn.NORM.S.INV(0.001)</f>
        <v>-3.0902323061678132</v>
      </c>
      <c r="S8" s="1">
        <v>0.15</v>
      </c>
      <c r="T8">
        <f t="shared" si="0"/>
        <v>0.12006637012441773</v>
      </c>
      <c r="U8">
        <f t="shared" si="1"/>
        <v>-1.0364333894937898</v>
      </c>
      <c r="V8">
        <f t="shared" si="2"/>
        <v>3.6619112391547394E-2</v>
      </c>
      <c r="W8" s="6">
        <f t="shared" si="3"/>
        <v>0.51460564786738372</v>
      </c>
      <c r="X8">
        <f t="shared" si="4"/>
        <v>9</v>
      </c>
      <c r="Y8">
        <f t="shared" si="5"/>
        <v>30.876338872043021</v>
      </c>
      <c r="Z8">
        <f t="shared" si="6"/>
        <v>21.876338872043021</v>
      </c>
      <c r="AA8">
        <f t="shared" si="7"/>
        <v>273.45423590053775</v>
      </c>
      <c r="AC8" s="1">
        <v>0.15</v>
      </c>
      <c r="AD8">
        <v>0.23414753094008567</v>
      </c>
      <c r="AE8">
        <f t="shared" si="8"/>
        <v>-1.0364333894937898</v>
      </c>
      <c r="AF8">
        <f t="shared" si="9"/>
        <v>0.52437094548713148</v>
      </c>
      <c r="AG8" s="6">
        <f t="shared" si="11"/>
        <v>0.69998971961597012</v>
      </c>
    </row>
    <row r="9" spans="1:33" x14ac:dyDescent="0.25">
      <c r="A9" t="s">
        <v>0</v>
      </c>
      <c r="B9" s="8">
        <v>5.0000000000000001E-3</v>
      </c>
      <c r="S9" s="1">
        <v>0.3</v>
      </c>
      <c r="T9">
        <f t="shared" si="0"/>
        <v>0.12000003670827847</v>
      </c>
      <c r="U9">
        <f t="shared" si="1"/>
        <v>-0.52440051270804089</v>
      </c>
      <c r="V9">
        <f t="shared" si="2"/>
        <v>0.58213126796384473</v>
      </c>
      <c r="W9" s="6">
        <f t="shared" si="3"/>
        <v>0.71976086739686396</v>
      </c>
      <c r="X9">
        <f t="shared" si="4"/>
        <v>18</v>
      </c>
      <c r="Y9">
        <f t="shared" si="5"/>
        <v>43.185652043811835</v>
      </c>
      <c r="Z9">
        <f t="shared" si="6"/>
        <v>25.185652043811835</v>
      </c>
      <c r="AA9">
        <f t="shared" si="7"/>
        <v>314.82065054764792</v>
      </c>
      <c r="AC9" s="1">
        <v>0.3</v>
      </c>
      <c r="AD9">
        <v>0.23414753094008567</v>
      </c>
      <c r="AE9">
        <f t="shared" si="8"/>
        <v>-0.52440051270804089</v>
      </c>
      <c r="AF9">
        <f t="shared" si="9"/>
        <v>1.1094644661962685</v>
      </c>
      <c r="AG9" s="6">
        <f t="shared" si="11"/>
        <v>0.86638506733214282</v>
      </c>
    </row>
    <row r="10" spans="1:33" x14ac:dyDescent="0.25">
      <c r="A10" t="s">
        <v>1</v>
      </c>
      <c r="B10">
        <f>EXP(-50*B9)</f>
        <v>0.77880078307140488</v>
      </c>
      <c r="J10">
        <f>SQRT(E6)*J8</f>
        <v>-1.4277277720328569</v>
      </c>
    </row>
    <row r="11" spans="1:33" x14ac:dyDescent="0.25">
      <c r="J11">
        <f>J7-J10</f>
        <v>-1.148101531516043</v>
      </c>
      <c r="S11" t="s">
        <v>14</v>
      </c>
      <c r="U11">
        <f>_xlfn.NORM.S.INV(0.999)</f>
        <v>3.0902323061678132</v>
      </c>
    </row>
    <row r="13" spans="1:33" x14ac:dyDescent="0.25">
      <c r="S13" t="s">
        <v>16</v>
      </c>
      <c r="T13" s="1">
        <v>0.4</v>
      </c>
      <c r="Z13" s="7">
        <f>W2/S2</f>
        <v>34.19115235722029</v>
      </c>
    </row>
    <row r="14" spans="1:33" x14ac:dyDescent="0.25">
      <c r="H14" t="s">
        <v>10</v>
      </c>
      <c r="S14" t="s">
        <v>17</v>
      </c>
      <c r="T14">
        <v>100</v>
      </c>
      <c r="Z14" s="7">
        <f t="shared" ref="Z14:Z20" si="12">W3/S3</f>
        <v>19.547552887470111</v>
      </c>
    </row>
    <row r="15" spans="1:33" x14ac:dyDescent="0.25">
      <c r="H15" t="s">
        <v>9</v>
      </c>
      <c r="S15" t="s">
        <v>18</v>
      </c>
      <c r="T15">
        <f>T14*(1-T13)</f>
        <v>60</v>
      </c>
      <c r="Z15" s="7">
        <f t="shared" si="12"/>
        <v>14.027267845651592</v>
      </c>
    </row>
    <row r="16" spans="1:33" x14ac:dyDescent="0.25">
      <c r="F16" s="2" t="s">
        <v>0</v>
      </c>
      <c r="G16" t="s">
        <v>8</v>
      </c>
      <c r="H16">
        <v>1</v>
      </c>
      <c r="I16">
        <v>2</v>
      </c>
      <c r="J16">
        <v>2.5</v>
      </c>
      <c r="K16">
        <v>3</v>
      </c>
      <c r="L16">
        <v>4</v>
      </c>
      <c r="M16">
        <v>5</v>
      </c>
      <c r="Z16" s="7">
        <f t="shared" si="12"/>
        <v>9.5129510468751164</v>
      </c>
    </row>
    <row r="17" spans="6:26" x14ac:dyDescent="0.25">
      <c r="F17" s="3">
        <v>2.9999999999999997E-4</v>
      </c>
      <c r="G17">
        <f>(0.11852-0.05478*LN(F17))^2</f>
        <v>0.31683441720723071</v>
      </c>
      <c r="H17">
        <f t="shared" ref="H17:M27" si="13">(1+$G17*(H$16-2.5))/(1-1.5*$G17)</f>
        <v>1</v>
      </c>
      <c r="I17">
        <f t="shared" si="13"/>
        <v>1.6037835137589638</v>
      </c>
      <c r="J17">
        <f t="shared" si="13"/>
        <v>1.9056752706384454</v>
      </c>
      <c r="K17">
        <f t="shared" si="13"/>
        <v>2.2075670275179271</v>
      </c>
      <c r="L17">
        <f t="shared" si="13"/>
        <v>2.8113505412768909</v>
      </c>
      <c r="M17">
        <f t="shared" si="13"/>
        <v>3.4151340550358538</v>
      </c>
      <c r="Z17" s="7">
        <f t="shared" si="12"/>
        <v>5.6897563857333671</v>
      </c>
    </row>
    <row r="18" spans="6:26" x14ac:dyDescent="0.25">
      <c r="F18" s="3">
        <v>5.0000000000000001E-4</v>
      </c>
      <c r="G18">
        <f t="shared" ref="G18:G27" si="14">(0.11852-0.05478*LN(F18))^2</f>
        <v>0.28611526782429891</v>
      </c>
      <c r="H18">
        <f t="shared" si="13"/>
        <v>1</v>
      </c>
      <c r="I18">
        <f t="shared" si="13"/>
        <v>1.5012293016478331</v>
      </c>
      <c r="J18">
        <f t="shared" si="13"/>
        <v>1.7518439524717495</v>
      </c>
      <c r="K18">
        <f t="shared" si="13"/>
        <v>2.0024586032956662</v>
      </c>
      <c r="L18">
        <f t="shared" si="13"/>
        <v>2.5036879049434995</v>
      </c>
      <c r="M18">
        <f t="shared" si="13"/>
        <v>3.0049172065913323</v>
      </c>
      <c r="Z18" s="7">
        <f t="shared" si="12"/>
        <v>4.1244566076606075</v>
      </c>
    </row>
    <row r="19" spans="6:26" x14ac:dyDescent="0.25">
      <c r="F19" s="3">
        <v>1E-3</v>
      </c>
      <c r="G19">
        <f t="shared" si="14"/>
        <v>0.24693627853078248</v>
      </c>
      <c r="H19">
        <f t="shared" si="13"/>
        <v>1</v>
      </c>
      <c r="I19">
        <f t="shared" si="13"/>
        <v>1.3922141220661217</v>
      </c>
      <c r="J19">
        <f t="shared" si="13"/>
        <v>1.5883211830991826</v>
      </c>
      <c r="K19">
        <f t="shared" si="13"/>
        <v>1.7844282441322432</v>
      </c>
      <c r="L19">
        <f t="shared" si="13"/>
        <v>2.1766423661983652</v>
      </c>
      <c r="M19">
        <f t="shared" si="13"/>
        <v>2.5688564882644869</v>
      </c>
      <c r="Q19">
        <f>T15*(N5-F20)*J20</f>
        <v>7.4252518796919214</v>
      </c>
      <c r="Z19" s="7">
        <f t="shared" si="12"/>
        <v>3.4307043191158915</v>
      </c>
    </row>
    <row r="20" spans="6:26" x14ac:dyDescent="0.25">
      <c r="F20" s="3">
        <v>5.0000000000000001E-3</v>
      </c>
      <c r="G20">
        <f t="shared" si="14"/>
        <v>0.16708622985488109</v>
      </c>
      <c r="H20">
        <f t="shared" si="13"/>
        <v>1</v>
      </c>
      <c r="I20">
        <f t="shared" si="13"/>
        <v>1.2229687387563175</v>
      </c>
      <c r="J20">
        <f t="shared" si="13"/>
        <v>1.3344531081344764</v>
      </c>
      <c r="K20">
        <f t="shared" si="13"/>
        <v>1.4459374775126352</v>
      </c>
      <c r="L20">
        <f t="shared" si="13"/>
        <v>1.6689062162689525</v>
      </c>
      <c r="M20">
        <f t="shared" si="13"/>
        <v>1.8918749550252705</v>
      </c>
      <c r="Z20" s="7">
        <f t="shared" si="12"/>
        <v>2.3992028913228798</v>
      </c>
    </row>
    <row r="21" spans="6:26" x14ac:dyDescent="0.25">
      <c r="F21" s="3">
        <f>F20+0.5%</f>
        <v>0.01</v>
      </c>
      <c r="G21">
        <f t="shared" si="14"/>
        <v>0.13748613089693737</v>
      </c>
      <c r="H21">
        <f t="shared" si="13"/>
        <v>1</v>
      </c>
      <c r="I21">
        <f t="shared" si="13"/>
        <v>1.1732063339492189</v>
      </c>
      <c r="J21">
        <f t="shared" si="13"/>
        <v>1.2598095009238282</v>
      </c>
      <c r="K21">
        <f t="shared" si="13"/>
        <v>1.3464126678984374</v>
      </c>
      <c r="L21">
        <f t="shared" si="13"/>
        <v>1.5196190018476565</v>
      </c>
      <c r="M21">
        <f t="shared" si="13"/>
        <v>1.692825335796875</v>
      </c>
      <c r="P21" t="s">
        <v>23</v>
      </c>
      <c r="Q21">
        <f>Q19*12.5</f>
        <v>92.815648496149024</v>
      </c>
    </row>
    <row r="22" spans="6:26" x14ac:dyDescent="0.25">
      <c r="F22" s="4">
        <v>0.05</v>
      </c>
      <c r="G22">
        <f t="shared" si="14"/>
        <v>7.9877576809047501E-2</v>
      </c>
      <c r="H22">
        <f t="shared" si="13"/>
        <v>1</v>
      </c>
      <c r="I22">
        <f t="shared" si="13"/>
        <v>1.090751036093087</v>
      </c>
      <c r="J22">
        <f t="shared" si="13"/>
        <v>1.1361265541396302</v>
      </c>
      <c r="K22">
        <f t="shared" si="13"/>
        <v>1.1815020721861735</v>
      </c>
      <c r="L22">
        <f t="shared" si="13"/>
        <v>1.2722531082792605</v>
      </c>
      <c r="M22">
        <f t="shared" si="13"/>
        <v>1.3630041443723471</v>
      </c>
    </row>
    <row r="23" spans="6:26" x14ac:dyDescent="0.25">
      <c r="F23" s="4">
        <f>F22+5%</f>
        <v>0.1</v>
      </c>
      <c r="G23">
        <f t="shared" si="14"/>
        <v>5.985636818667657E-2</v>
      </c>
      <c r="H23">
        <f t="shared" si="13"/>
        <v>1</v>
      </c>
      <c r="I23">
        <f t="shared" si="13"/>
        <v>1.0657606595631968</v>
      </c>
      <c r="J23">
        <f t="shared" si="13"/>
        <v>1.098640989344795</v>
      </c>
      <c r="K23">
        <f t="shared" si="13"/>
        <v>1.1315213191263933</v>
      </c>
      <c r="L23">
        <f t="shared" si="13"/>
        <v>1.1972819786895901</v>
      </c>
      <c r="M23">
        <f t="shared" si="13"/>
        <v>1.2630426382527868</v>
      </c>
    </row>
    <row r="24" spans="6:26" x14ac:dyDescent="0.25">
      <c r="F24" s="4">
        <f t="shared" ref="F24:F26" si="15">F23+5%</f>
        <v>0.15000000000000002</v>
      </c>
      <c r="G24">
        <f t="shared" si="14"/>
        <v>4.9481436693545322E-2</v>
      </c>
      <c r="H24">
        <f t="shared" si="13"/>
        <v>1</v>
      </c>
      <c r="I24">
        <f t="shared" si="13"/>
        <v>1.0534484995109168</v>
      </c>
      <c r="J24">
        <f t="shared" si="13"/>
        <v>1.0801727492663753</v>
      </c>
      <c r="K24">
        <f t="shared" si="13"/>
        <v>1.1068969990218338</v>
      </c>
      <c r="L24">
        <f t="shared" si="13"/>
        <v>1.1603454985327508</v>
      </c>
      <c r="M24">
        <f t="shared" si="13"/>
        <v>1.2137939980436678</v>
      </c>
    </row>
    <row r="25" spans="6:26" x14ac:dyDescent="0.25">
      <c r="F25" s="4">
        <f t="shared" si="15"/>
        <v>0.2</v>
      </c>
      <c r="G25">
        <f t="shared" si="14"/>
        <v>4.2718692880488865E-2</v>
      </c>
      <c r="H25">
        <f t="shared" si="13"/>
        <v>1</v>
      </c>
      <c r="I25">
        <f t="shared" si="13"/>
        <v>1.0456434346828285</v>
      </c>
      <c r="J25">
        <f t="shared" si="13"/>
        <v>1.0684651520242427</v>
      </c>
      <c r="K25">
        <f t="shared" si="13"/>
        <v>1.091286869365657</v>
      </c>
      <c r="L25">
        <f t="shared" si="13"/>
        <v>1.1369303040484853</v>
      </c>
      <c r="M25">
        <f t="shared" si="13"/>
        <v>1.182573738731314</v>
      </c>
    </row>
    <row r="26" spans="6:26" x14ac:dyDescent="0.25">
      <c r="F26" s="4">
        <f t="shared" si="15"/>
        <v>0.25</v>
      </c>
      <c r="G26">
        <f t="shared" si="14"/>
        <v>3.7815160289779513E-2</v>
      </c>
      <c r="H26">
        <f t="shared" si="13"/>
        <v>1</v>
      </c>
      <c r="I26">
        <f t="shared" si="13"/>
        <v>1.0400891253407349</v>
      </c>
      <c r="J26">
        <f t="shared" si="13"/>
        <v>1.0601336880111025</v>
      </c>
      <c r="K26">
        <f t="shared" si="13"/>
        <v>1.0801782506814699</v>
      </c>
      <c r="L26">
        <f t="shared" si="13"/>
        <v>1.1202673760222048</v>
      </c>
      <c r="M26">
        <f t="shared" si="13"/>
        <v>1.1603565013629398</v>
      </c>
    </row>
    <row r="27" spans="6:26" x14ac:dyDescent="0.25">
      <c r="F27" s="4">
        <f>F26+5%</f>
        <v>0.3</v>
      </c>
      <c r="G27">
        <f t="shared" si="14"/>
        <v>3.4030520246904943E-2</v>
      </c>
      <c r="H27">
        <f t="shared" si="13"/>
        <v>1</v>
      </c>
      <c r="I27">
        <f t="shared" si="13"/>
        <v>1.0358610769023044</v>
      </c>
      <c r="J27">
        <f t="shared" si="13"/>
        <v>1.0537916153534568</v>
      </c>
      <c r="K27">
        <f t="shared" si="13"/>
        <v>1.0717221538046091</v>
      </c>
      <c r="L27">
        <f t="shared" si="13"/>
        <v>1.1075832307069136</v>
      </c>
      <c r="M27">
        <f t="shared" si="13"/>
        <v>1.143444307609218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8193" r:id="rId3">
          <objectPr defaultSiz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371475</xdr:colOff>
                <xdr:row>2</xdr:row>
                <xdr:rowOff>104775</xdr:rowOff>
              </to>
            </anchor>
          </objectPr>
        </oleObject>
      </mc:Choice>
      <mc:Fallback>
        <oleObject progId="Equation.DSMT4" shapeId="8193" r:id="rId3"/>
      </mc:Fallback>
    </mc:AlternateContent>
    <mc:AlternateContent xmlns:mc="http://schemas.openxmlformats.org/markup-compatibility/2006">
      <mc:Choice Requires="x14">
        <oleObject progId="Equation.DSMT4" shapeId="8194" r:id="rId5">
          <objectPr defaultSize="0" autoPict="0" r:id="rId6">
            <anchor moveWithCells="1" sizeWithCells="1">
              <from>
                <xdr:col>0</xdr:col>
                <xdr:colOff>0</xdr:colOff>
                <xdr:row>5</xdr:row>
                <xdr:rowOff>0</xdr:rowOff>
              </from>
              <to>
                <xdr:col>2</xdr:col>
                <xdr:colOff>371475</xdr:colOff>
                <xdr:row>6</xdr:row>
                <xdr:rowOff>85725</xdr:rowOff>
              </to>
            </anchor>
          </objectPr>
        </oleObject>
      </mc:Choice>
      <mc:Fallback>
        <oleObject progId="Equation.DSMT4" shapeId="8194" r:id="rId5"/>
      </mc:Fallback>
    </mc:AlternateContent>
    <mc:AlternateContent xmlns:mc="http://schemas.openxmlformats.org/markup-compatibility/2006">
      <mc:Choice Requires="x14">
        <oleObject progId="Equation.DSMT4" shapeId="8195" r:id="rId7">
          <objectPr defaultSize="0" autoPict="0" r:id="rId8">
            <anchor moveWithCells="1" sizeWithCells="1">
              <from>
                <xdr:col>8</xdr:col>
                <xdr:colOff>0</xdr:colOff>
                <xdr:row>2</xdr:row>
                <xdr:rowOff>0</xdr:rowOff>
              </from>
              <to>
                <xdr:col>12</xdr:col>
                <xdr:colOff>104775</xdr:colOff>
                <xdr:row>4</xdr:row>
                <xdr:rowOff>161925</xdr:rowOff>
              </to>
            </anchor>
          </objectPr>
        </oleObject>
      </mc:Choice>
      <mc:Fallback>
        <oleObject progId="Equation.DSMT4" shapeId="8195" r:id="rId7"/>
      </mc:Fallback>
    </mc:AlternateContent>
    <mc:AlternateContent xmlns:mc="http://schemas.openxmlformats.org/markup-compatibility/2006">
      <mc:Choice Requires="x14">
        <oleObject progId="Equation.DSMT4" shapeId="8196" r:id="rId9">
          <objectPr defaultSize="0" autoPict="0" r:id="rId10">
            <anchor moveWithCells="1" sizeWithCells="1">
              <from>
                <xdr:col>0</xdr:col>
                <xdr:colOff>0</xdr:colOff>
                <xdr:row>14</xdr:row>
                <xdr:rowOff>0</xdr:rowOff>
              </from>
              <to>
                <xdr:col>2</xdr:col>
                <xdr:colOff>457200</xdr:colOff>
                <xdr:row>16</xdr:row>
                <xdr:rowOff>85725</xdr:rowOff>
              </to>
            </anchor>
          </objectPr>
        </oleObject>
      </mc:Choice>
      <mc:Fallback>
        <oleObject progId="Equation.DSMT4" shapeId="8196" r:id="rId9"/>
      </mc:Fallback>
    </mc:AlternateContent>
    <mc:AlternateContent xmlns:mc="http://schemas.openxmlformats.org/markup-compatibility/2006">
      <mc:Choice Requires="x14">
        <oleObject progId="Equation.DSMT4" shapeId="8197" r:id="rId11">
          <objectPr defaultSize="0" autoPict="0" r:id="rId12">
            <anchor moveWithCells="1" sizeWithCells="1">
              <from>
                <xdr:col>10</xdr:col>
                <xdr:colOff>323850</xdr:colOff>
                <xdr:row>10</xdr:row>
                <xdr:rowOff>57150</xdr:rowOff>
              </from>
              <to>
                <xdr:col>14</xdr:col>
                <xdr:colOff>457200</xdr:colOff>
                <xdr:row>13</xdr:row>
                <xdr:rowOff>38100</xdr:rowOff>
              </to>
            </anchor>
          </objectPr>
        </oleObject>
      </mc:Choice>
      <mc:Fallback>
        <oleObject progId="Equation.DSMT4" shapeId="8197" r:id="rId11"/>
      </mc:Fallback>
    </mc:AlternateContent>
    <mc:AlternateContent xmlns:mc="http://schemas.openxmlformats.org/markup-compatibility/2006">
      <mc:Choice Requires="x14">
        <oleObject progId="Equation.DSMT4" shapeId="8199" r:id="rId13">
          <objectPr defaultSize="0" autoPict="0" r:id="rId14">
            <anchor moveWithCells="1" sizeWithCells="1">
              <from>
                <xdr:col>15</xdr:col>
                <xdr:colOff>0</xdr:colOff>
                <xdr:row>16</xdr:row>
                <xdr:rowOff>0</xdr:rowOff>
              </from>
              <to>
                <xdr:col>18</xdr:col>
                <xdr:colOff>581025</xdr:colOff>
                <xdr:row>17</xdr:row>
                <xdr:rowOff>47625</xdr:rowOff>
              </to>
            </anchor>
          </objectPr>
        </oleObject>
      </mc:Choice>
      <mc:Fallback>
        <oleObject progId="Equation.DSMT4" shapeId="8199" r:id="rId1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Fórmula</vt:lpstr>
      <vt:lpstr>Exemplo Cap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Soares Fonseca</dc:creator>
  <cp:lastModifiedBy>José Alberto Soares da Fonseca</cp:lastModifiedBy>
  <dcterms:created xsi:type="dcterms:W3CDTF">2022-09-01T10:50:14Z</dcterms:created>
  <dcterms:modified xsi:type="dcterms:W3CDTF">2024-05-29T15:51:48Z</dcterms:modified>
</cp:coreProperties>
</file>