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stão do Risco Bancário_livro\Ficheiros excel\"/>
    </mc:Choice>
  </mc:AlternateContent>
  <xr:revisionPtr revIDLastSave="0" documentId="13_ncr:1_{DEF1E34C-A5EA-4582-B5B6-07DC0723110A}" xr6:coauthVersionLast="47" xr6:coauthVersionMax="47" xr10:uidLastSave="{00000000-0000-0000-0000-000000000000}"/>
  <bookViews>
    <workbookView xWindow="-120" yWindow="-120" windowWidth="20730" windowHeight="11160" activeTab="2" xr2:uid="{5B42A0D1-4B11-4EE6-95A7-64E159C51F3A}"/>
  </bookViews>
  <sheets>
    <sheet name="Modelo KMV" sheetId="2" r:id="rId1"/>
    <sheet name="Estimar Vol_KMV" sheetId="3" r:id="rId2"/>
    <sheet name="Exemplo" sheetId="5" r:id="rId3"/>
  </sheets>
  <definedNames>
    <definedName name="solver_adj" localSheetId="1" hidden="1">'Estimar Vol_KMV'!$D$4</definedName>
    <definedName name="solver_cvg" localSheetId="1" hidden="1">"0.0001"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"0.075"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'Estimar Vol_KMV'!#REF!</definedName>
    <definedName name="solver_pre" localSheetId="1" hidden="1">"0.000001"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5" l="1"/>
  <c r="E24" i="5"/>
  <c r="E22" i="5"/>
  <c r="D22" i="5"/>
  <c r="O21" i="5"/>
  <c r="D23" i="5"/>
  <c r="D24" i="5"/>
  <c r="D21" i="5"/>
  <c r="P17" i="5"/>
  <c r="O17" i="5"/>
  <c r="O15" i="5"/>
  <c r="S3" i="5"/>
  <c r="T3" i="5"/>
  <c r="S4" i="5"/>
  <c r="T4" i="5"/>
  <c r="S5" i="5"/>
  <c r="T5" i="5"/>
  <c r="S6" i="5"/>
  <c r="T6" i="5"/>
  <c r="S7" i="5"/>
  <c r="T7" i="5"/>
  <c r="S8" i="5"/>
  <c r="T8" i="5"/>
  <c r="S9" i="5"/>
  <c r="T9" i="5"/>
  <c r="S10" i="5"/>
  <c r="T10" i="5"/>
  <c r="S11" i="5"/>
  <c r="T11" i="5"/>
  <c r="S12" i="5"/>
  <c r="T12" i="5"/>
  <c r="S13" i="5"/>
  <c r="T13" i="5"/>
  <c r="S14" i="5"/>
  <c r="T14" i="5"/>
  <c r="S15" i="5"/>
  <c r="T15" i="5"/>
  <c r="S16" i="5"/>
  <c r="T16" i="5"/>
  <c r="S17" i="5"/>
  <c r="T17" i="5"/>
  <c r="S18" i="5"/>
  <c r="T18" i="5"/>
  <c r="S19" i="5"/>
  <c r="T19" i="5"/>
  <c r="S20" i="5"/>
  <c r="T20" i="5"/>
  <c r="S21" i="5"/>
  <c r="T21" i="5"/>
  <c r="S22" i="5"/>
  <c r="T22" i="5"/>
  <c r="S23" i="5"/>
  <c r="T23" i="5"/>
  <c r="S24" i="5"/>
  <c r="T24" i="5"/>
  <c r="S25" i="5"/>
  <c r="T25" i="5"/>
  <c r="S26" i="5"/>
  <c r="T26" i="5"/>
  <c r="S27" i="5"/>
  <c r="T27" i="5"/>
  <c r="S28" i="5"/>
  <c r="T28" i="5"/>
  <c r="S29" i="5"/>
  <c r="T29" i="5"/>
  <c r="S30" i="5"/>
  <c r="T30" i="5"/>
  <c r="S31" i="5"/>
  <c r="T31" i="5"/>
  <c r="S32" i="5"/>
  <c r="T32" i="5"/>
  <c r="S33" i="5"/>
  <c r="T33" i="5"/>
  <c r="S34" i="5"/>
  <c r="T34" i="5"/>
  <c r="S35" i="5"/>
  <c r="T35" i="5"/>
  <c r="S36" i="5"/>
  <c r="T36" i="5"/>
  <c r="S37" i="5"/>
  <c r="T37" i="5"/>
  <c r="S38" i="5"/>
  <c r="T38" i="5"/>
  <c r="S39" i="5"/>
  <c r="T39" i="5"/>
  <c r="S40" i="5"/>
  <c r="T40" i="5"/>
  <c r="S41" i="5"/>
  <c r="T41" i="5"/>
  <c r="S42" i="5"/>
  <c r="T42" i="5"/>
  <c r="S43" i="5"/>
  <c r="T43" i="5"/>
  <c r="S44" i="5"/>
  <c r="T44" i="5"/>
  <c r="S45" i="5"/>
  <c r="T45" i="5"/>
  <c r="S46" i="5"/>
  <c r="T46" i="5"/>
  <c r="S47" i="5"/>
  <c r="T47" i="5"/>
  <c r="S48" i="5"/>
  <c r="T48" i="5"/>
  <c r="S49" i="5"/>
  <c r="T49" i="5"/>
  <c r="S50" i="5"/>
  <c r="T50" i="5"/>
  <c r="S51" i="5"/>
  <c r="T51" i="5"/>
  <c r="S52" i="5"/>
  <c r="T52" i="5"/>
  <c r="S53" i="5"/>
  <c r="T53" i="5"/>
  <c r="R3" i="5"/>
  <c r="R4" i="5" s="1"/>
  <c r="R5" i="5" s="1"/>
  <c r="R6" i="5" s="1"/>
  <c r="R7" i="5" s="1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P15" i="5"/>
  <c r="O10" i="5"/>
  <c r="O11" i="5" s="1"/>
  <c r="P11" i="5" s="1"/>
  <c r="O5" i="5"/>
  <c r="O6" i="5" s="1"/>
  <c r="P6" i="5" s="1"/>
  <c r="D7" i="5"/>
  <c r="O3" i="5"/>
  <c r="O4" i="5" s="1"/>
  <c r="Q4" i="3"/>
  <c r="Q5" i="3"/>
  <c r="Q3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" i="3"/>
  <c r="S4" i="3"/>
  <c r="S5" i="3"/>
  <c r="S6" i="3"/>
  <c r="S7" i="3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3" i="3"/>
  <c r="E4" i="3"/>
  <c r="D6" i="5"/>
  <c r="O14" i="5"/>
  <c r="P14" i="5" s="1"/>
  <c r="O8" i="5"/>
  <c r="O9" i="5" s="1"/>
  <c r="P9" i="5" s="1"/>
  <c r="F4" i="5"/>
  <c r="F5" i="5" s="1"/>
  <c r="F6" i="5" s="1"/>
  <c r="K3" i="5"/>
  <c r="G3" i="5"/>
  <c r="H3" i="5" s="1"/>
  <c r="O5" i="3"/>
  <c r="O6" i="3" s="1"/>
  <c r="P6" i="3" s="1"/>
  <c r="O3" i="3"/>
  <c r="N14" i="3"/>
  <c r="N13" i="3"/>
  <c r="D25" i="5" l="1"/>
  <c r="T2" i="5"/>
  <c r="S2" i="5"/>
  <c r="P4" i="5"/>
  <c r="R20" i="5"/>
  <c r="K6" i="5"/>
  <c r="G6" i="5"/>
  <c r="F7" i="5"/>
  <c r="G5" i="5"/>
  <c r="K5" i="5"/>
  <c r="I3" i="5"/>
  <c r="J3" i="5" s="1"/>
  <c r="L3" i="5" s="1"/>
  <c r="O16" i="5"/>
  <c r="G4" i="5"/>
  <c r="K4" i="5"/>
  <c r="O9" i="3"/>
  <c r="O8" i="3"/>
  <c r="R21" i="5" l="1"/>
  <c r="F8" i="5"/>
  <c r="K7" i="5"/>
  <c r="G7" i="5"/>
  <c r="H4" i="5"/>
  <c r="I4" i="5"/>
  <c r="J4" i="5" s="1"/>
  <c r="I5" i="5"/>
  <c r="J5" i="5" s="1"/>
  <c r="H5" i="5"/>
  <c r="H6" i="5"/>
  <c r="I6" i="5"/>
  <c r="J6" i="5" s="1"/>
  <c r="P8" i="3"/>
  <c r="O10" i="3"/>
  <c r="R22" i="5" l="1"/>
  <c r="L6" i="5"/>
  <c r="L4" i="5"/>
  <c r="H7" i="5"/>
  <c r="I7" i="5"/>
  <c r="J7" i="5" s="1"/>
  <c r="L5" i="5"/>
  <c r="K8" i="5"/>
  <c r="G8" i="5"/>
  <c r="F9" i="5"/>
  <c r="R23" i="5" l="1"/>
  <c r="G9" i="5"/>
  <c r="F10" i="5"/>
  <c r="K9" i="5"/>
  <c r="I8" i="5"/>
  <c r="J8" i="5" s="1"/>
  <c r="H8" i="5"/>
  <c r="L7" i="5"/>
  <c r="R24" i="5" l="1"/>
  <c r="F11" i="5"/>
  <c r="K10" i="5"/>
  <c r="G10" i="5"/>
  <c r="L8" i="5"/>
  <c r="I9" i="5"/>
  <c r="J9" i="5" s="1"/>
  <c r="H9" i="5"/>
  <c r="L9" i="5" l="1"/>
  <c r="R25" i="5"/>
  <c r="I10" i="5"/>
  <c r="J10" i="5" s="1"/>
  <c r="H10" i="5"/>
  <c r="G11" i="5"/>
  <c r="K11" i="5"/>
  <c r="F12" i="5"/>
  <c r="L10" i="5" l="1"/>
  <c r="R26" i="5"/>
  <c r="F13" i="5"/>
  <c r="G12" i="5"/>
  <c r="K12" i="5"/>
  <c r="I11" i="5"/>
  <c r="J11" i="5" s="1"/>
  <c r="H11" i="5"/>
  <c r="R27" i="5" l="1"/>
  <c r="I12" i="5"/>
  <c r="J12" i="5" s="1"/>
  <c r="H12" i="5"/>
  <c r="L11" i="5"/>
  <c r="F14" i="5"/>
  <c r="K13" i="5"/>
  <c r="G13" i="5"/>
  <c r="L12" i="5" l="1"/>
  <c r="R28" i="5"/>
  <c r="F15" i="5"/>
  <c r="K14" i="5"/>
  <c r="G14" i="5"/>
  <c r="H13" i="5"/>
  <c r="I13" i="5"/>
  <c r="J13" i="5" s="1"/>
  <c r="R29" i="5" l="1"/>
  <c r="I14" i="5"/>
  <c r="J14" i="5" s="1"/>
  <c r="H14" i="5"/>
  <c r="F16" i="5"/>
  <c r="K15" i="5"/>
  <c r="G15" i="5"/>
  <c r="L13" i="5"/>
  <c r="L14" i="5" l="1"/>
  <c r="R30" i="5"/>
  <c r="F17" i="5"/>
  <c r="K16" i="5"/>
  <c r="G16" i="5"/>
  <c r="I15" i="5"/>
  <c r="J15" i="5" s="1"/>
  <c r="H15" i="5"/>
  <c r="R31" i="5" l="1"/>
  <c r="L15" i="5"/>
  <c r="G17" i="5"/>
  <c r="K17" i="5"/>
  <c r="F18" i="5"/>
  <c r="I16" i="5"/>
  <c r="J16" i="5" s="1"/>
  <c r="H16" i="5"/>
  <c r="R32" i="5" l="1"/>
  <c r="F19" i="5"/>
  <c r="K18" i="5"/>
  <c r="G18" i="5"/>
  <c r="L16" i="5"/>
  <c r="I17" i="5"/>
  <c r="J17" i="5" s="1"/>
  <c r="H17" i="5"/>
  <c r="R33" i="5" l="1"/>
  <c r="G19" i="5"/>
  <c r="K19" i="5"/>
  <c r="F20" i="5"/>
  <c r="H18" i="5"/>
  <c r="I18" i="5"/>
  <c r="J18" i="5" s="1"/>
  <c r="L17" i="5"/>
  <c r="R34" i="5" l="1"/>
  <c r="L18" i="5"/>
  <c r="H19" i="5"/>
  <c r="I19" i="5"/>
  <c r="J19" i="5" s="1"/>
  <c r="F21" i="5"/>
  <c r="K20" i="5"/>
  <c r="G20" i="5"/>
  <c r="R35" i="5" l="1"/>
  <c r="I20" i="5"/>
  <c r="J20" i="5" s="1"/>
  <c r="H20" i="5"/>
  <c r="G21" i="5"/>
  <c r="K21" i="5"/>
  <c r="F22" i="5"/>
  <c r="L19" i="5"/>
  <c r="L20" i="5" l="1"/>
  <c r="R36" i="5"/>
  <c r="H21" i="5"/>
  <c r="I21" i="5"/>
  <c r="J21" i="5" s="1"/>
  <c r="F23" i="5"/>
  <c r="K22" i="5"/>
  <c r="G22" i="5"/>
  <c r="R37" i="5" l="1"/>
  <c r="L21" i="5"/>
  <c r="I22" i="5"/>
  <c r="J22" i="5" s="1"/>
  <c r="H22" i="5"/>
  <c r="L22" i="5" s="1"/>
  <c r="F24" i="5"/>
  <c r="G23" i="5"/>
  <c r="K23" i="5"/>
  <c r="R38" i="5" l="1"/>
  <c r="H23" i="5"/>
  <c r="I23" i="5"/>
  <c r="J23" i="5" s="1"/>
  <c r="K24" i="5"/>
  <c r="F25" i="5"/>
  <c r="G24" i="5"/>
  <c r="R39" i="5" l="1"/>
  <c r="L23" i="5"/>
  <c r="I24" i="5"/>
  <c r="J24" i="5" s="1"/>
  <c r="H24" i="5"/>
  <c r="L24" i="5" s="1"/>
  <c r="F26" i="5"/>
  <c r="G25" i="5"/>
  <c r="K25" i="5"/>
  <c r="R40" i="5" l="1"/>
  <c r="F27" i="5"/>
  <c r="K26" i="5"/>
  <c r="G26" i="5"/>
  <c r="H25" i="5"/>
  <c r="I25" i="5"/>
  <c r="J25" i="5" s="1"/>
  <c r="R41" i="5" l="1"/>
  <c r="L25" i="5"/>
  <c r="F28" i="5"/>
  <c r="G27" i="5"/>
  <c r="K27" i="5"/>
  <c r="I26" i="5"/>
  <c r="J26" i="5" s="1"/>
  <c r="H26" i="5"/>
  <c r="L26" i="5" l="1"/>
  <c r="R42" i="5"/>
  <c r="I27" i="5"/>
  <c r="J27" i="5" s="1"/>
  <c r="H27" i="5"/>
  <c r="G28" i="5"/>
  <c r="K28" i="5"/>
  <c r="F29" i="5"/>
  <c r="R43" i="5" l="1"/>
  <c r="I28" i="5"/>
  <c r="J28" i="5" s="1"/>
  <c r="H28" i="5"/>
  <c r="F30" i="5"/>
  <c r="K29" i="5"/>
  <c r="G29" i="5"/>
  <c r="L27" i="5"/>
  <c r="R44" i="5" l="1"/>
  <c r="L28" i="5"/>
  <c r="F31" i="5"/>
  <c r="K30" i="5"/>
  <c r="G30" i="5"/>
  <c r="H29" i="5"/>
  <c r="I29" i="5"/>
  <c r="J29" i="5" s="1"/>
  <c r="R45" i="5" l="1"/>
  <c r="L29" i="5"/>
  <c r="H30" i="5"/>
  <c r="I30" i="5"/>
  <c r="J30" i="5" s="1"/>
  <c r="K31" i="5"/>
  <c r="F32" i="5"/>
  <c r="G31" i="5"/>
  <c r="R46" i="5" l="1"/>
  <c r="I31" i="5"/>
  <c r="J31" i="5" s="1"/>
  <c r="H31" i="5"/>
  <c r="F33" i="5"/>
  <c r="G32" i="5"/>
  <c r="K32" i="5"/>
  <c r="L30" i="5"/>
  <c r="R47" i="5" l="1"/>
  <c r="I32" i="5"/>
  <c r="J32" i="5" s="1"/>
  <c r="H32" i="5"/>
  <c r="K33" i="5"/>
  <c r="F34" i="5"/>
  <c r="G33" i="5"/>
  <c r="L31" i="5"/>
  <c r="L32" i="5" l="1"/>
  <c r="R48" i="5"/>
  <c r="F35" i="5"/>
  <c r="K34" i="5"/>
  <c r="G34" i="5"/>
  <c r="H33" i="5"/>
  <c r="I33" i="5"/>
  <c r="J33" i="5" s="1"/>
  <c r="R49" i="5" l="1"/>
  <c r="G35" i="5"/>
  <c r="K35" i="5"/>
  <c r="F36" i="5"/>
  <c r="L33" i="5"/>
  <c r="I34" i="5"/>
  <c r="J34" i="5" s="1"/>
  <c r="H34" i="5"/>
  <c r="L34" i="5" l="1"/>
  <c r="R50" i="5"/>
  <c r="I35" i="5"/>
  <c r="J35" i="5" s="1"/>
  <c r="H35" i="5"/>
  <c r="G36" i="5"/>
  <c r="F37" i="5"/>
  <c r="K36" i="5"/>
  <c r="R51" i="5" l="1"/>
  <c r="K37" i="5"/>
  <c r="G37" i="5"/>
  <c r="F38" i="5"/>
  <c r="I36" i="5"/>
  <c r="J36" i="5" s="1"/>
  <c r="H36" i="5"/>
  <c r="L35" i="5"/>
  <c r="R52" i="5" l="1"/>
  <c r="F39" i="5"/>
  <c r="K38" i="5"/>
  <c r="G38" i="5"/>
  <c r="I37" i="5"/>
  <c r="J37" i="5" s="1"/>
  <c r="H37" i="5"/>
  <c r="L36" i="5"/>
  <c r="R53" i="5" l="1"/>
  <c r="L37" i="5"/>
  <c r="I38" i="5"/>
  <c r="J38" i="5" s="1"/>
  <c r="H38" i="5"/>
  <c r="G39" i="5"/>
  <c r="K39" i="5"/>
  <c r="F40" i="5"/>
  <c r="I39" i="5" l="1"/>
  <c r="J39" i="5" s="1"/>
  <c r="H39" i="5"/>
  <c r="K40" i="5"/>
  <c r="G40" i="5"/>
  <c r="F41" i="5"/>
  <c r="L38" i="5"/>
  <c r="L39" i="5" l="1"/>
  <c r="I40" i="5"/>
  <c r="J40" i="5" s="1"/>
  <c r="H40" i="5"/>
  <c r="F42" i="5"/>
  <c r="K41" i="5"/>
  <c r="G41" i="5"/>
  <c r="L40" i="5" l="1"/>
  <c r="K42" i="5"/>
  <c r="G42" i="5"/>
  <c r="F43" i="5"/>
  <c r="I41" i="5"/>
  <c r="J41" i="5" s="1"/>
  <c r="H41" i="5"/>
  <c r="F44" i="5" l="1"/>
  <c r="K43" i="5"/>
  <c r="G43" i="5"/>
  <c r="I42" i="5"/>
  <c r="J42" i="5" s="1"/>
  <c r="H42" i="5"/>
  <c r="L41" i="5"/>
  <c r="L42" i="5" l="1"/>
  <c r="I43" i="5"/>
  <c r="J43" i="5" s="1"/>
  <c r="H43" i="5"/>
  <c r="K44" i="5"/>
  <c r="G44" i="5"/>
  <c r="F45" i="5"/>
  <c r="L43" i="5" l="1"/>
  <c r="I44" i="5"/>
  <c r="J44" i="5" s="1"/>
  <c r="H44" i="5"/>
  <c r="F46" i="5"/>
  <c r="K45" i="5"/>
  <c r="G45" i="5"/>
  <c r="L44" i="5" l="1"/>
  <c r="K46" i="5"/>
  <c r="G46" i="5"/>
  <c r="F47" i="5"/>
  <c r="I45" i="5"/>
  <c r="J45" i="5" s="1"/>
  <c r="H45" i="5"/>
  <c r="F48" i="5" l="1"/>
  <c r="K47" i="5"/>
  <c r="G47" i="5"/>
  <c r="L45" i="5"/>
  <c r="I46" i="5"/>
  <c r="J46" i="5" s="1"/>
  <c r="H46" i="5"/>
  <c r="L46" i="5" l="1"/>
  <c r="I47" i="5"/>
  <c r="J47" i="5" s="1"/>
  <c r="H47" i="5"/>
  <c r="L47" i="5" s="1"/>
  <c r="K48" i="5"/>
  <c r="G48" i="5"/>
  <c r="F49" i="5"/>
  <c r="I48" i="5" l="1"/>
  <c r="J48" i="5" s="1"/>
  <c r="H48" i="5"/>
  <c r="F50" i="5"/>
  <c r="K49" i="5"/>
  <c r="G49" i="5"/>
  <c r="L48" i="5" l="1"/>
  <c r="K50" i="5"/>
  <c r="G50" i="5"/>
  <c r="F51" i="5"/>
  <c r="I49" i="5"/>
  <c r="J49" i="5" s="1"/>
  <c r="H49" i="5"/>
  <c r="F52" i="5" l="1"/>
  <c r="K51" i="5"/>
  <c r="G51" i="5"/>
  <c r="L49" i="5"/>
  <c r="I50" i="5"/>
  <c r="J50" i="5" s="1"/>
  <c r="H50" i="5"/>
  <c r="L50" i="5" l="1"/>
  <c r="I51" i="5"/>
  <c r="J51" i="5" s="1"/>
  <c r="H51" i="5"/>
  <c r="K52" i="5"/>
  <c r="G52" i="5"/>
  <c r="F53" i="5"/>
  <c r="I52" i="5" l="1"/>
  <c r="J52" i="5" s="1"/>
  <c r="H52" i="5"/>
  <c r="F54" i="5"/>
  <c r="K53" i="5"/>
  <c r="G53" i="5"/>
  <c r="L51" i="5"/>
  <c r="L52" i="5" l="1"/>
  <c r="K54" i="5"/>
  <c r="G54" i="5"/>
  <c r="F55" i="5"/>
  <c r="I53" i="5"/>
  <c r="J53" i="5" s="1"/>
  <c r="H53" i="5"/>
  <c r="F56" i="5" l="1"/>
  <c r="K55" i="5"/>
  <c r="G55" i="5"/>
  <c r="L53" i="5"/>
  <c r="I54" i="5"/>
  <c r="J54" i="5" s="1"/>
  <c r="H54" i="5"/>
  <c r="L54" i="5" s="1"/>
  <c r="I55" i="5" l="1"/>
  <c r="J55" i="5" s="1"/>
  <c r="H55" i="5"/>
  <c r="K56" i="5"/>
  <c r="G56" i="5"/>
  <c r="F57" i="5"/>
  <c r="F58" i="5" l="1"/>
  <c r="K57" i="5"/>
  <c r="G57" i="5"/>
  <c r="I56" i="5"/>
  <c r="J56" i="5" s="1"/>
  <c r="H56" i="5"/>
  <c r="L55" i="5"/>
  <c r="L56" i="5" l="1"/>
  <c r="I57" i="5"/>
  <c r="J57" i="5" s="1"/>
  <c r="H57" i="5"/>
  <c r="K58" i="5"/>
  <c r="G58" i="5"/>
  <c r="F59" i="5"/>
  <c r="F60" i="5" l="1"/>
  <c r="K59" i="5"/>
  <c r="G59" i="5"/>
  <c r="I58" i="5"/>
  <c r="J58" i="5" s="1"/>
  <c r="H58" i="5"/>
  <c r="L57" i="5"/>
  <c r="L58" i="5" l="1"/>
  <c r="I59" i="5"/>
  <c r="J59" i="5" s="1"/>
  <c r="H59" i="5"/>
  <c r="K60" i="5"/>
  <c r="G60" i="5"/>
  <c r="F61" i="5"/>
  <c r="I60" i="5" l="1"/>
  <c r="J60" i="5" s="1"/>
  <c r="H60" i="5"/>
  <c r="F62" i="5"/>
  <c r="K61" i="5"/>
  <c r="G61" i="5"/>
  <c r="L59" i="5"/>
  <c r="L60" i="5" l="1"/>
  <c r="K62" i="5"/>
  <c r="G62" i="5"/>
  <c r="F63" i="5"/>
  <c r="I61" i="5"/>
  <c r="J61" i="5" s="1"/>
  <c r="H61" i="5"/>
  <c r="I62" i="5" l="1"/>
  <c r="J62" i="5" s="1"/>
  <c r="H62" i="5"/>
  <c r="F64" i="5"/>
  <c r="K63" i="5"/>
  <c r="G63" i="5"/>
  <c r="L61" i="5"/>
  <c r="L62" i="5" l="1"/>
  <c r="K64" i="5"/>
  <c r="G64" i="5"/>
  <c r="F65" i="5"/>
  <c r="I63" i="5"/>
  <c r="J63" i="5" s="1"/>
  <c r="H63" i="5"/>
  <c r="F66" i="5" l="1"/>
  <c r="K65" i="5"/>
  <c r="G65" i="5"/>
  <c r="L63" i="5"/>
  <c r="I64" i="5"/>
  <c r="J64" i="5" s="1"/>
  <c r="H64" i="5"/>
  <c r="L64" i="5" l="1"/>
  <c r="I65" i="5"/>
  <c r="J65" i="5" s="1"/>
  <c r="H65" i="5"/>
  <c r="K66" i="5"/>
  <c r="G66" i="5"/>
  <c r="F67" i="5"/>
  <c r="F68" i="5" l="1"/>
  <c r="K67" i="5"/>
  <c r="G67" i="5"/>
  <c r="I66" i="5"/>
  <c r="J66" i="5" s="1"/>
  <c r="H66" i="5"/>
  <c r="L65" i="5"/>
  <c r="L66" i="5" l="1"/>
  <c r="I67" i="5"/>
  <c r="J67" i="5" s="1"/>
  <c r="H67" i="5"/>
  <c r="K68" i="5"/>
  <c r="G68" i="5"/>
  <c r="F69" i="5"/>
  <c r="I68" i="5" l="1"/>
  <c r="J68" i="5" s="1"/>
  <c r="H68" i="5"/>
  <c r="F70" i="5"/>
  <c r="K69" i="5"/>
  <c r="G69" i="5"/>
  <c r="L67" i="5"/>
  <c r="L68" i="5" l="1"/>
  <c r="K70" i="5"/>
  <c r="G70" i="5"/>
  <c r="F71" i="5"/>
  <c r="I69" i="5"/>
  <c r="J69" i="5" s="1"/>
  <c r="H69" i="5"/>
  <c r="F72" i="5" l="1"/>
  <c r="K71" i="5"/>
  <c r="G71" i="5"/>
  <c r="L69" i="5"/>
  <c r="I70" i="5"/>
  <c r="J70" i="5" s="1"/>
  <c r="H70" i="5"/>
  <c r="L70" i="5" l="1"/>
  <c r="I71" i="5"/>
  <c r="J71" i="5" s="1"/>
  <c r="H71" i="5"/>
  <c r="K72" i="5"/>
  <c r="G72" i="5"/>
  <c r="L71" i="5" l="1"/>
  <c r="I72" i="5"/>
  <c r="J72" i="5" s="1"/>
  <c r="H72" i="5"/>
  <c r="L72" i="5" l="1"/>
  <c r="O4" i="3" l="1"/>
  <c r="P4" i="3" s="1"/>
  <c r="F4" i="3" l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K3" i="3"/>
  <c r="G3" i="3"/>
  <c r="H3" i="3" s="1"/>
  <c r="N3" i="2"/>
  <c r="N4" i="2" s="1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F4" i="2"/>
  <c r="K4" i="2" s="1"/>
  <c r="G3" i="2"/>
  <c r="H3" i="2" s="1"/>
  <c r="K3" i="2"/>
  <c r="I3" i="3" l="1"/>
  <c r="J3" i="3" s="1"/>
  <c r="G42" i="3"/>
  <c r="F43" i="3"/>
  <c r="F44" i="3" s="1"/>
  <c r="K42" i="3"/>
  <c r="K4" i="3"/>
  <c r="G4" i="3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G4" i="2"/>
  <c r="H4" i="2" s="1"/>
  <c r="I3" i="2"/>
  <c r="J3" i="2" s="1"/>
  <c r="L3" i="2" s="1"/>
  <c r="G6" i="2"/>
  <c r="G5" i="2"/>
  <c r="G44" i="3" l="1"/>
  <c r="K44" i="3"/>
  <c r="F45" i="3"/>
  <c r="L3" i="3"/>
  <c r="G43" i="3"/>
  <c r="K43" i="3"/>
  <c r="H42" i="3"/>
  <c r="I42" i="3"/>
  <c r="J42" i="3" s="1"/>
  <c r="H4" i="3"/>
  <c r="I4" i="3"/>
  <c r="J4" i="3" s="1"/>
  <c r="K5" i="3"/>
  <c r="G5" i="3"/>
  <c r="K6" i="2"/>
  <c r="K5" i="2"/>
  <c r="I4" i="2"/>
  <c r="J4" i="2" s="1"/>
  <c r="L4" i="2" s="1"/>
  <c r="H6" i="2"/>
  <c r="I6" i="2"/>
  <c r="J6" i="2" s="1"/>
  <c r="H5" i="2"/>
  <c r="I5" i="2"/>
  <c r="J5" i="2" s="1"/>
  <c r="G7" i="2"/>
  <c r="K7" i="2"/>
  <c r="G45" i="3" l="1"/>
  <c r="K45" i="3"/>
  <c r="F46" i="3"/>
  <c r="H44" i="3"/>
  <c r="L44" i="3" s="1"/>
  <c r="I44" i="3"/>
  <c r="J44" i="3" s="1"/>
  <c r="L42" i="3"/>
  <c r="H43" i="3"/>
  <c r="I43" i="3"/>
  <c r="J43" i="3" s="1"/>
  <c r="K6" i="3"/>
  <c r="G6" i="3"/>
  <c r="H5" i="3"/>
  <c r="I5" i="3"/>
  <c r="J5" i="3" s="1"/>
  <c r="L4" i="3"/>
  <c r="L6" i="2"/>
  <c r="I7" i="2"/>
  <c r="J7" i="2" s="1"/>
  <c r="H7" i="2"/>
  <c r="G8" i="2"/>
  <c r="K8" i="2"/>
  <c r="L5" i="2"/>
  <c r="F47" i="3" l="1"/>
  <c r="G46" i="3"/>
  <c r="K46" i="3"/>
  <c r="I45" i="3"/>
  <c r="J45" i="3" s="1"/>
  <c r="H45" i="3"/>
  <c r="L43" i="3"/>
  <c r="K7" i="3"/>
  <c r="G7" i="3"/>
  <c r="H6" i="3"/>
  <c r="I6" i="3"/>
  <c r="J6" i="3" s="1"/>
  <c r="L5" i="3"/>
  <c r="L7" i="2"/>
  <c r="G9" i="2"/>
  <c r="K9" i="2"/>
  <c r="H8" i="2"/>
  <c r="I8" i="2"/>
  <c r="J8" i="2" s="1"/>
  <c r="G47" i="3" l="1"/>
  <c r="K47" i="3"/>
  <c r="F48" i="3"/>
  <c r="L45" i="3"/>
  <c r="I46" i="3"/>
  <c r="J46" i="3" s="1"/>
  <c r="H46" i="3"/>
  <c r="H7" i="3"/>
  <c r="I7" i="3"/>
  <c r="J7" i="3" s="1"/>
  <c r="K8" i="3"/>
  <c r="G8" i="3"/>
  <c r="L6" i="3"/>
  <c r="G10" i="2"/>
  <c r="K10" i="2"/>
  <c r="L8" i="2"/>
  <c r="H9" i="2"/>
  <c r="I9" i="2"/>
  <c r="J9" i="2" s="1"/>
  <c r="L46" i="3" l="1"/>
  <c r="G48" i="3"/>
  <c r="K48" i="3"/>
  <c r="F49" i="3"/>
  <c r="H47" i="3"/>
  <c r="I47" i="3"/>
  <c r="J47" i="3" s="1"/>
  <c r="K9" i="3"/>
  <c r="G9" i="3"/>
  <c r="H8" i="3"/>
  <c r="I8" i="3"/>
  <c r="J8" i="3" s="1"/>
  <c r="L7" i="3"/>
  <c r="L9" i="2"/>
  <c r="K11" i="2"/>
  <c r="G11" i="2"/>
  <c r="H10" i="2"/>
  <c r="I10" i="2"/>
  <c r="J10" i="2" s="1"/>
  <c r="L47" i="3" l="1"/>
  <c r="G49" i="3"/>
  <c r="K49" i="3"/>
  <c r="F50" i="3"/>
  <c r="I48" i="3"/>
  <c r="J48" i="3" s="1"/>
  <c r="H48" i="3"/>
  <c r="H9" i="3"/>
  <c r="I9" i="3"/>
  <c r="J9" i="3" s="1"/>
  <c r="K10" i="3"/>
  <c r="G10" i="3"/>
  <c r="L8" i="3"/>
  <c r="L10" i="2"/>
  <c r="K12" i="2"/>
  <c r="G12" i="2"/>
  <c r="I11" i="2"/>
  <c r="J11" i="2" s="1"/>
  <c r="H11" i="2"/>
  <c r="L48" i="3" l="1"/>
  <c r="F51" i="3"/>
  <c r="K50" i="3"/>
  <c r="G50" i="3"/>
  <c r="H49" i="3"/>
  <c r="I49" i="3"/>
  <c r="J49" i="3" s="1"/>
  <c r="K11" i="3"/>
  <c r="G11" i="3"/>
  <c r="H10" i="3"/>
  <c r="I10" i="3"/>
  <c r="J10" i="3" s="1"/>
  <c r="L9" i="3"/>
  <c r="G13" i="2"/>
  <c r="K13" i="2"/>
  <c r="H12" i="2"/>
  <c r="I12" i="2"/>
  <c r="J12" i="2" s="1"/>
  <c r="L11" i="2"/>
  <c r="H50" i="3" l="1"/>
  <c r="I50" i="3"/>
  <c r="J50" i="3" s="1"/>
  <c r="L49" i="3"/>
  <c r="K51" i="3"/>
  <c r="F52" i="3"/>
  <c r="G51" i="3"/>
  <c r="H11" i="3"/>
  <c r="I11" i="3"/>
  <c r="J11" i="3" s="1"/>
  <c r="K12" i="3"/>
  <c r="G12" i="3"/>
  <c r="L10" i="3"/>
  <c r="G14" i="2"/>
  <c r="K14" i="2"/>
  <c r="L12" i="2"/>
  <c r="H13" i="2"/>
  <c r="I13" i="2"/>
  <c r="J13" i="2" s="1"/>
  <c r="I51" i="3" l="1"/>
  <c r="J51" i="3" s="1"/>
  <c r="H51" i="3"/>
  <c r="L51" i="3" s="1"/>
  <c r="K52" i="3"/>
  <c r="G52" i="3"/>
  <c r="F53" i="3"/>
  <c r="L50" i="3"/>
  <c r="K13" i="3"/>
  <c r="G13" i="3"/>
  <c r="H12" i="3"/>
  <c r="I12" i="3"/>
  <c r="J12" i="3" s="1"/>
  <c r="L11" i="3"/>
  <c r="L13" i="2"/>
  <c r="K15" i="2"/>
  <c r="G15" i="2"/>
  <c r="H14" i="2"/>
  <c r="I14" i="2"/>
  <c r="J14" i="2" s="1"/>
  <c r="H52" i="3" l="1"/>
  <c r="I52" i="3"/>
  <c r="J52" i="3" s="1"/>
  <c r="F54" i="3"/>
  <c r="G53" i="3"/>
  <c r="K53" i="3"/>
  <c r="K14" i="3"/>
  <c r="G14" i="3"/>
  <c r="H13" i="3"/>
  <c r="I13" i="3"/>
  <c r="J13" i="3" s="1"/>
  <c r="L12" i="3"/>
  <c r="L14" i="2"/>
  <c r="I15" i="2"/>
  <c r="J15" i="2" s="1"/>
  <c r="H15" i="2"/>
  <c r="G16" i="2"/>
  <c r="K16" i="2"/>
  <c r="K54" i="3" l="1"/>
  <c r="F55" i="3"/>
  <c r="G54" i="3"/>
  <c r="H53" i="3"/>
  <c r="L53" i="3" s="1"/>
  <c r="I53" i="3"/>
  <c r="J53" i="3" s="1"/>
  <c r="L52" i="3"/>
  <c r="H14" i="3"/>
  <c r="I14" i="3"/>
  <c r="J14" i="3" s="1"/>
  <c r="K15" i="3"/>
  <c r="G15" i="3"/>
  <c r="L13" i="3"/>
  <c r="L15" i="2"/>
  <c r="H16" i="2"/>
  <c r="I16" i="2"/>
  <c r="J16" i="2" s="1"/>
  <c r="G17" i="2"/>
  <c r="K17" i="2"/>
  <c r="I54" i="3" l="1"/>
  <c r="J54" i="3" s="1"/>
  <c r="H54" i="3"/>
  <c r="L54" i="3" s="1"/>
  <c r="G55" i="3"/>
  <c r="K55" i="3"/>
  <c r="F56" i="3"/>
  <c r="K16" i="3"/>
  <c r="G16" i="3"/>
  <c r="H15" i="3"/>
  <c r="I15" i="3"/>
  <c r="J15" i="3" s="1"/>
  <c r="L14" i="3"/>
  <c r="I17" i="2"/>
  <c r="J17" i="2" s="1"/>
  <c r="H17" i="2"/>
  <c r="K18" i="2"/>
  <c r="G18" i="2"/>
  <c r="L16" i="2"/>
  <c r="H55" i="3" l="1"/>
  <c r="I55" i="3"/>
  <c r="J55" i="3" s="1"/>
  <c r="G56" i="3"/>
  <c r="K56" i="3"/>
  <c r="F57" i="3"/>
  <c r="K17" i="3"/>
  <c r="G17" i="3"/>
  <c r="H16" i="3"/>
  <c r="I16" i="3"/>
  <c r="J16" i="3" s="1"/>
  <c r="L15" i="3"/>
  <c r="L17" i="2"/>
  <c r="H18" i="2"/>
  <c r="I18" i="2"/>
  <c r="J18" i="2" s="1"/>
  <c r="G19" i="2"/>
  <c r="K19" i="2"/>
  <c r="I56" i="3" l="1"/>
  <c r="J56" i="3" s="1"/>
  <c r="H56" i="3"/>
  <c r="L56" i="3" s="1"/>
  <c r="F58" i="3"/>
  <c r="G57" i="3"/>
  <c r="K57" i="3"/>
  <c r="L55" i="3"/>
  <c r="K18" i="3"/>
  <c r="G18" i="3"/>
  <c r="H17" i="3"/>
  <c r="I17" i="3"/>
  <c r="J17" i="3" s="1"/>
  <c r="L16" i="3"/>
  <c r="K20" i="2"/>
  <c r="G20" i="2"/>
  <c r="I19" i="2"/>
  <c r="J19" i="2" s="1"/>
  <c r="H19" i="2"/>
  <c r="L18" i="2"/>
  <c r="G58" i="3" l="1"/>
  <c r="K58" i="3"/>
  <c r="F59" i="3"/>
  <c r="I57" i="3"/>
  <c r="J57" i="3" s="1"/>
  <c r="H57" i="3"/>
  <c r="K19" i="3"/>
  <c r="G19" i="3"/>
  <c r="H18" i="3"/>
  <c r="I18" i="3"/>
  <c r="J18" i="3" s="1"/>
  <c r="L17" i="3"/>
  <c r="L19" i="2"/>
  <c r="G21" i="2"/>
  <c r="K21" i="2"/>
  <c r="H20" i="2"/>
  <c r="I20" i="2"/>
  <c r="J20" i="2" s="1"/>
  <c r="K59" i="3" l="1"/>
  <c r="F60" i="3"/>
  <c r="G59" i="3"/>
  <c r="L57" i="3"/>
  <c r="H58" i="3"/>
  <c r="I58" i="3"/>
  <c r="J58" i="3" s="1"/>
  <c r="H19" i="3"/>
  <c r="I19" i="3"/>
  <c r="J19" i="3" s="1"/>
  <c r="K20" i="3"/>
  <c r="G20" i="3"/>
  <c r="L18" i="3"/>
  <c r="L20" i="2"/>
  <c r="G22" i="2"/>
  <c r="K22" i="2"/>
  <c r="H21" i="2"/>
  <c r="I21" i="2"/>
  <c r="J21" i="2" s="1"/>
  <c r="L58" i="3" l="1"/>
  <c r="K60" i="3"/>
  <c r="F61" i="3"/>
  <c r="G60" i="3"/>
  <c r="H59" i="3"/>
  <c r="I59" i="3"/>
  <c r="J59" i="3" s="1"/>
  <c r="K21" i="3"/>
  <c r="G21" i="3"/>
  <c r="H20" i="3"/>
  <c r="I20" i="3"/>
  <c r="J20" i="3" s="1"/>
  <c r="L19" i="3"/>
  <c r="L21" i="2"/>
  <c r="H22" i="2"/>
  <c r="I22" i="2"/>
  <c r="J22" i="2" s="1"/>
  <c r="G23" i="2"/>
  <c r="K23" i="2"/>
  <c r="F62" i="3" l="1"/>
  <c r="G61" i="3"/>
  <c r="K61" i="3"/>
  <c r="L59" i="3"/>
  <c r="I60" i="3"/>
  <c r="J60" i="3" s="1"/>
  <c r="H60" i="3"/>
  <c r="L60" i="3" s="1"/>
  <c r="K22" i="3"/>
  <c r="G22" i="3"/>
  <c r="H21" i="3"/>
  <c r="I21" i="3"/>
  <c r="J21" i="3" s="1"/>
  <c r="L20" i="3"/>
  <c r="K24" i="2"/>
  <c r="G24" i="2"/>
  <c r="H23" i="2"/>
  <c r="I23" i="2"/>
  <c r="J23" i="2" s="1"/>
  <c r="L22" i="2"/>
  <c r="H61" i="3" l="1"/>
  <c r="I61" i="3"/>
  <c r="J61" i="3" s="1"/>
  <c r="K62" i="3"/>
  <c r="F63" i="3"/>
  <c r="G62" i="3"/>
  <c r="H22" i="3"/>
  <c r="I22" i="3"/>
  <c r="J22" i="3" s="1"/>
  <c r="K23" i="3"/>
  <c r="G23" i="3"/>
  <c r="L21" i="3"/>
  <c r="I24" i="2"/>
  <c r="J24" i="2" s="1"/>
  <c r="H24" i="2"/>
  <c r="G25" i="2"/>
  <c r="K25" i="2"/>
  <c r="L23" i="2"/>
  <c r="K63" i="3" l="1"/>
  <c r="F64" i="3"/>
  <c r="G63" i="3"/>
  <c r="H62" i="3"/>
  <c r="L62" i="3" s="1"/>
  <c r="I62" i="3"/>
  <c r="J62" i="3" s="1"/>
  <c r="L61" i="3"/>
  <c r="L24" i="2"/>
  <c r="K24" i="3"/>
  <c r="G24" i="3"/>
  <c r="H23" i="3"/>
  <c r="I23" i="3"/>
  <c r="J23" i="3" s="1"/>
  <c r="L22" i="3"/>
  <c r="H25" i="2"/>
  <c r="I25" i="2"/>
  <c r="J25" i="2" s="1"/>
  <c r="G26" i="2"/>
  <c r="K26" i="2"/>
  <c r="K64" i="3" l="1"/>
  <c r="F65" i="3"/>
  <c r="G64" i="3"/>
  <c r="I63" i="3"/>
  <c r="J63" i="3" s="1"/>
  <c r="H63" i="3"/>
  <c r="K25" i="3"/>
  <c r="G25" i="3"/>
  <c r="H24" i="3"/>
  <c r="I24" i="3"/>
  <c r="J24" i="3" s="1"/>
  <c r="L23" i="3"/>
  <c r="L25" i="2"/>
  <c r="H26" i="2"/>
  <c r="I26" i="2"/>
  <c r="J26" i="2" s="1"/>
  <c r="K27" i="2"/>
  <c r="G27" i="2"/>
  <c r="L63" i="3" l="1"/>
  <c r="G65" i="3"/>
  <c r="F66" i="3"/>
  <c r="K65" i="3"/>
  <c r="H64" i="3"/>
  <c r="I64" i="3"/>
  <c r="J64" i="3" s="1"/>
  <c r="K26" i="3"/>
  <c r="G26" i="3"/>
  <c r="H25" i="3"/>
  <c r="I25" i="3"/>
  <c r="J25" i="3" s="1"/>
  <c r="L24" i="3"/>
  <c r="H27" i="2"/>
  <c r="I27" i="2"/>
  <c r="J27" i="2" s="1"/>
  <c r="L26" i="2"/>
  <c r="G28" i="2"/>
  <c r="K28" i="2"/>
  <c r="F67" i="3" l="1"/>
  <c r="K66" i="3"/>
  <c r="G66" i="3"/>
  <c r="L64" i="3"/>
  <c r="I65" i="3"/>
  <c r="J65" i="3" s="1"/>
  <c r="H65" i="3"/>
  <c r="L65" i="3" s="1"/>
  <c r="K27" i="3"/>
  <c r="G27" i="3"/>
  <c r="H26" i="3"/>
  <c r="I26" i="3"/>
  <c r="J26" i="3" s="1"/>
  <c r="L25" i="3"/>
  <c r="K29" i="2"/>
  <c r="G29" i="2"/>
  <c r="I28" i="2"/>
  <c r="J28" i="2" s="1"/>
  <c r="H28" i="2"/>
  <c r="L27" i="2"/>
  <c r="I66" i="3" l="1"/>
  <c r="J66" i="3" s="1"/>
  <c r="H66" i="3"/>
  <c r="L66" i="3" s="1"/>
  <c r="F68" i="3"/>
  <c r="K67" i="3"/>
  <c r="G67" i="3"/>
  <c r="K28" i="3"/>
  <c r="G28" i="3"/>
  <c r="H27" i="3"/>
  <c r="I27" i="3"/>
  <c r="J27" i="3" s="1"/>
  <c r="L26" i="3"/>
  <c r="L28" i="2"/>
  <c r="H29" i="2"/>
  <c r="I29" i="2"/>
  <c r="J29" i="2" s="1"/>
  <c r="G30" i="2"/>
  <c r="K30" i="2"/>
  <c r="K68" i="3" l="1"/>
  <c r="F69" i="3"/>
  <c r="G68" i="3"/>
  <c r="H67" i="3"/>
  <c r="I67" i="3"/>
  <c r="J67" i="3" s="1"/>
  <c r="K29" i="3"/>
  <c r="G29" i="3"/>
  <c r="H28" i="3"/>
  <c r="I28" i="3"/>
  <c r="J28" i="3" s="1"/>
  <c r="L27" i="3"/>
  <c r="K31" i="2"/>
  <c r="G31" i="2"/>
  <c r="H30" i="2"/>
  <c r="I30" i="2"/>
  <c r="J30" i="2" s="1"/>
  <c r="L29" i="2"/>
  <c r="K69" i="3" l="1"/>
  <c r="G69" i="3"/>
  <c r="F70" i="3"/>
  <c r="I68" i="3"/>
  <c r="J68" i="3" s="1"/>
  <c r="H68" i="3"/>
  <c r="L67" i="3"/>
  <c r="H29" i="3"/>
  <c r="I29" i="3"/>
  <c r="J29" i="3" s="1"/>
  <c r="K30" i="3"/>
  <c r="G30" i="3"/>
  <c r="L28" i="3"/>
  <c r="L30" i="2"/>
  <c r="G32" i="2"/>
  <c r="K32" i="2"/>
  <c r="H31" i="2"/>
  <c r="I31" i="2"/>
  <c r="J31" i="2" s="1"/>
  <c r="L68" i="3" l="1"/>
  <c r="H69" i="3"/>
  <c r="I69" i="3"/>
  <c r="J69" i="3" s="1"/>
  <c r="G70" i="3"/>
  <c r="K70" i="3"/>
  <c r="F71" i="3"/>
  <c r="K31" i="3"/>
  <c r="G31" i="3"/>
  <c r="H30" i="3"/>
  <c r="I30" i="3"/>
  <c r="J30" i="3" s="1"/>
  <c r="L29" i="3"/>
  <c r="K33" i="2"/>
  <c r="G33" i="2"/>
  <c r="L31" i="2"/>
  <c r="H32" i="2"/>
  <c r="I32" i="2"/>
  <c r="J32" i="2" s="1"/>
  <c r="H70" i="3" l="1"/>
  <c r="I70" i="3"/>
  <c r="J70" i="3" s="1"/>
  <c r="F72" i="3"/>
  <c r="G71" i="3"/>
  <c r="K71" i="3"/>
  <c r="L69" i="3"/>
  <c r="L30" i="3"/>
  <c r="K32" i="3"/>
  <c r="G32" i="3"/>
  <c r="H31" i="3"/>
  <c r="I31" i="3"/>
  <c r="J31" i="3" s="1"/>
  <c r="H33" i="2"/>
  <c r="I33" i="2"/>
  <c r="J33" i="2" s="1"/>
  <c r="K34" i="2"/>
  <c r="G34" i="2"/>
  <c r="L32" i="2"/>
  <c r="G72" i="3" l="1"/>
  <c r="K72" i="3"/>
  <c r="I71" i="3"/>
  <c r="J71" i="3" s="1"/>
  <c r="H71" i="3"/>
  <c r="L70" i="3"/>
  <c r="K33" i="3"/>
  <c r="G33" i="3"/>
  <c r="H32" i="3"/>
  <c r="I32" i="3"/>
  <c r="J32" i="3" s="1"/>
  <c r="L31" i="3"/>
  <c r="G35" i="2"/>
  <c r="K35" i="2"/>
  <c r="I34" i="2"/>
  <c r="J34" i="2" s="1"/>
  <c r="H34" i="2"/>
  <c r="L33" i="2"/>
  <c r="L71" i="3" l="1"/>
  <c r="I72" i="3"/>
  <c r="J72" i="3" s="1"/>
  <c r="H72" i="3"/>
  <c r="L72" i="3" s="1"/>
  <c r="K34" i="3"/>
  <c r="G34" i="3"/>
  <c r="H33" i="3"/>
  <c r="I33" i="3"/>
  <c r="J33" i="3" s="1"/>
  <c r="L32" i="3"/>
  <c r="L34" i="2"/>
  <c r="G36" i="2"/>
  <c r="K36" i="2"/>
  <c r="H35" i="2"/>
  <c r="I35" i="2"/>
  <c r="J35" i="2" s="1"/>
  <c r="K35" i="3" l="1"/>
  <c r="G35" i="3"/>
  <c r="H34" i="3"/>
  <c r="I34" i="3"/>
  <c r="J34" i="3" s="1"/>
  <c r="L33" i="3"/>
  <c r="H36" i="2"/>
  <c r="I36" i="2"/>
  <c r="J36" i="2" s="1"/>
  <c r="G37" i="2"/>
  <c r="K37" i="2"/>
  <c r="L35" i="2"/>
  <c r="K36" i="3" l="1"/>
  <c r="G36" i="3"/>
  <c r="H35" i="3"/>
  <c r="I35" i="3"/>
  <c r="J35" i="3" s="1"/>
  <c r="L34" i="3"/>
  <c r="H37" i="2"/>
  <c r="I37" i="2"/>
  <c r="J37" i="2" s="1"/>
  <c r="L36" i="2"/>
  <c r="G38" i="2"/>
  <c r="K38" i="2"/>
  <c r="H36" i="3" l="1"/>
  <c r="I36" i="3"/>
  <c r="J36" i="3" s="1"/>
  <c r="K37" i="3"/>
  <c r="G37" i="3"/>
  <c r="L35" i="3"/>
  <c r="L37" i="2"/>
  <c r="G39" i="2"/>
  <c r="K39" i="2"/>
  <c r="I38" i="2"/>
  <c r="J38" i="2" s="1"/>
  <c r="H38" i="2"/>
  <c r="K38" i="3" l="1"/>
  <c r="G38" i="3"/>
  <c r="H37" i="3"/>
  <c r="I37" i="3"/>
  <c r="J37" i="3" s="1"/>
  <c r="L36" i="3"/>
  <c r="L38" i="2"/>
  <c r="G40" i="2"/>
  <c r="K40" i="2"/>
  <c r="I39" i="2"/>
  <c r="J39" i="2" s="1"/>
  <c r="H39" i="2"/>
  <c r="K39" i="3" l="1"/>
  <c r="G39" i="3"/>
  <c r="H38" i="3"/>
  <c r="I38" i="3"/>
  <c r="J38" i="3" s="1"/>
  <c r="L37" i="3"/>
  <c r="H40" i="2"/>
  <c r="I40" i="2"/>
  <c r="J40" i="2" s="1"/>
  <c r="K41" i="2"/>
  <c r="G41" i="2"/>
  <c r="L39" i="2"/>
  <c r="H39" i="3" l="1"/>
  <c r="I39" i="3"/>
  <c r="J39" i="3" s="1"/>
  <c r="K40" i="3"/>
  <c r="G40" i="3"/>
  <c r="L38" i="3"/>
  <c r="H41" i="2"/>
  <c r="I41" i="2"/>
  <c r="J41" i="2" s="1"/>
  <c r="L40" i="2"/>
  <c r="K41" i="3" l="1"/>
  <c r="G41" i="3"/>
  <c r="H40" i="3"/>
  <c r="I40" i="3"/>
  <c r="J40" i="3" s="1"/>
  <c r="L39" i="3"/>
  <c r="L41" i="2"/>
  <c r="L40" i="3" l="1"/>
  <c r="H41" i="3"/>
  <c r="I41" i="3"/>
  <c r="J41" i="3" s="1"/>
  <c r="L41" i="3" l="1"/>
</calcChain>
</file>

<file path=xl/sharedStrings.xml><?xml version="1.0" encoding="utf-8"?>
<sst xmlns="http://schemas.openxmlformats.org/spreadsheetml/2006/main" count="81" uniqueCount="47">
  <si>
    <t>T=</t>
  </si>
  <si>
    <t>V. INT</t>
  </si>
  <si>
    <t>N(d1)</t>
  </si>
  <si>
    <t>d1</t>
  </si>
  <si>
    <t>d2</t>
  </si>
  <si>
    <t>N(d2)</t>
  </si>
  <si>
    <t>C(T-t=1)</t>
  </si>
  <si>
    <t>r</t>
  </si>
  <si>
    <t>SIGMA</t>
  </si>
  <si>
    <t>A</t>
  </si>
  <si>
    <t>Ativo</t>
  </si>
  <si>
    <t>Dívida</t>
  </si>
  <si>
    <t>C(T=1)</t>
  </si>
  <si>
    <t xml:space="preserve">Média  </t>
  </si>
  <si>
    <t>ADD</t>
  </si>
  <si>
    <t>A0</t>
  </si>
  <si>
    <t>Mu</t>
  </si>
  <si>
    <t>E(A)</t>
  </si>
  <si>
    <t>STDV</t>
  </si>
  <si>
    <t>DD=-d1</t>
  </si>
  <si>
    <t>(-)d1</t>
  </si>
  <si>
    <t>d1_r</t>
  </si>
  <si>
    <t>d1_mu</t>
  </si>
  <si>
    <t>(-d1)</t>
  </si>
  <si>
    <t>Tb</t>
  </si>
  <si>
    <t>lnB</t>
  </si>
  <si>
    <t>SigT</t>
  </si>
  <si>
    <t xml:space="preserve">MU-Sig  </t>
  </si>
  <si>
    <t>ND</t>
  </si>
  <si>
    <t>NDC</t>
  </si>
  <si>
    <t>Média log</t>
  </si>
  <si>
    <t>LND</t>
  </si>
  <si>
    <t>DD=-D2</t>
  </si>
  <si>
    <t>(-d1_MU</t>
  </si>
  <si>
    <t>d2_r</t>
  </si>
  <si>
    <t>(-)d2_r</t>
  </si>
  <si>
    <t>N(d)</t>
  </si>
  <si>
    <t>d2_mu</t>
  </si>
  <si>
    <t>(-)d2_mu</t>
  </si>
  <si>
    <t>CLN</t>
  </si>
  <si>
    <t>DD''</t>
  </si>
  <si>
    <t>Capitalização do ativo</t>
  </si>
  <si>
    <t>Expected Loss</t>
  </si>
  <si>
    <t>EL</t>
  </si>
  <si>
    <t>Aer*N(-d1)</t>
  </si>
  <si>
    <t>RR</t>
  </si>
  <si>
    <t>BN(-d2)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</si>
</sst>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0" fontId="0" fillId="0" borderId="0" xfId="0" applyNumberFormat="1"/>
    <xf numFmtId="10" fontId="0" fillId="0" borderId="0" xfId="1" applyNumberFormat="1" applyFont="1"/>
    <xf numFmtId="0" fontId="0" fillId="2" borderId="0" xfId="0" applyFill="1"/>
    <xf numFmtId="0" fontId="0" fillId="3" borderId="0" xfId="0" applyFill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'Modelo KMV'!$O$1</c:f>
              <c:strCache>
                <c:ptCount val="1"/>
                <c:pt idx="0">
                  <c:v>V. INT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'Modelo KMV'!$N$2:$N$40</c:f>
              <c:numCache>
                <c:formatCode>General</c:formatCode>
                <c:ptCount val="39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  <c:pt idx="17">
                  <c:v>95</c:v>
                </c:pt>
                <c:pt idx="18">
                  <c:v>100</c:v>
                </c:pt>
                <c:pt idx="19">
                  <c:v>105</c:v>
                </c:pt>
                <c:pt idx="20">
                  <c:v>110</c:v>
                </c:pt>
                <c:pt idx="21">
                  <c:v>115</c:v>
                </c:pt>
                <c:pt idx="22">
                  <c:v>120</c:v>
                </c:pt>
                <c:pt idx="23">
                  <c:v>125</c:v>
                </c:pt>
                <c:pt idx="24">
                  <c:v>130</c:v>
                </c:pt>
                <c:pt idx="25">
                  <c:v>135</c:v>
                </c:pt>
                <c:pt idx="26">
                  <c:v>140</c:v>
                </c:pt>
                <c:pt idx="27">
                  <c:v>145</c:v>
                </c:pt>
                <c:pt idx="28">
                  <c:v>150</c:v>
                </c:pt>
                <c:pt idx="29">
                  <c:v>155</c:v>
                </c:pt>
                <c:pt idx="30">
                  <c:v>160</c:v>
                </c:pt>
                <c:pt idx="31">
                  <c:v>165</c:v>
                </c:pt>
                <c:pt idx="32">
                  <c:v>170</c:v>
                </c:pt>
                <c:pt idx="33">
                  <c:v>175</c:v>
                </c:pt>
                <c:pt idx="34">
                  <c:v>180</c:v>
                </c:pt>
                <c:pt idx="35">
                  <c:v>185</c:v>
                </c:pt>
                <c:pt idx="36">
                  <c:v>190</c:v>
                </c:pt>
                <c:pt idx="37">
                  <c:v>195</c:v>
                </c:pt>
                <c:pt idx="38">
                  <c:v>200</c:v>
                </c:pt>
              </c:numCache>
            </c:numRef>
          </c:xVal>
          <c:yVal>
            <c:numRef>
              <c:f>'Modelo KMV'!$O$2:$O$40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10</c:v>
                </c:pt>
                <c:pt idx="17">
                  <c:v>15</c:v>
                </c:pt>
                <c:pt idx="18">
                  <c:v>20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  <c:pt idx="22">
                  <c:v>40</c:v>
                </c:pt>
                <c:pt idx="23">
                  <c:v>45</c:v>
                </c:pt>
                <c:pt idx="24">
                  <c:v>50</c:v>
                </c:pt>
                <c:pt idx="25">
                  <c:v>55</c:v>
                </c:pt>
                <c:pt idx="26">
                  <c:v>60</c:v>
                </c:pt>
                <c:pt idx="27">
                  <c:v>65</c:v>
                </c:pt>
                <c:pt idx="28">
                  <c:v>70</c:v>
                </c:pt>
                <c:pt idx="29">
                  <c:v>75</c:v>
                </c:pt>
                <c:pt idx="30">
                  <c:v>80</c:v>
                </c:pt>
                <c:pt idx="31">
                  <c:v>85</c:v>
                </c:pt>
                <c:pt idx="32">
                  <c:v>90</c:v>
                </c:pt>
                <c:pt idx="33">
                  <c:v>95</c:v>
                </c:pt>
                <c:pt idx="34">
                  <c:v>100</c:v>
                </c:pt>
                <c:pt idx="35">
                  <c:v>105</c:v>
                </c:pt>
                <c:pt idx="36">
                  <c:v>110</c:v>
                </c:pt>
                <c:pt idx="37">
                  <c:v>115</c:v>
                </c:pt>
                <c:pt idx="38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C2-41EB-82C8-09E432E07C34}"/>
            </c:ext>
          </c:extLst>
        </c:ser>
        <c:ser>
          <c:idx val="1"/>
          <c:order val="1"/>
          <c:tx>
            <c:strRef>
              <c:f>'Modelo KMV'!$P$1</c:f>
              <c:strCache>
                <c:ptCount val="1"/>
                <c:pt idx="0">
                  <c:v>C(T-t=1)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'Modelo KMV'!$N$2:$N$40</c:f>
              <c:numCache>
                <c:formatCode>General</c:formatCode>
                <c:ptCount val="39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  <c:pt idx="17">
                  <c:v>95</c:v>
                </c:pt>
                <c:pt idx="18">
                  <c:v>100</c:v>
                </c:pt>
                <c:pt idx="19">
                  <c:v>105</c:v>
                </c:pt>
                <c:pt idx="20">
                  <c:v>110</c:v>
                </c:pt>
                <c:pt idx="21">
                  <c:v>115</c:v>
                </c:pt>
                <c:pt idx="22">
                  <c:v>120</c:v>
                </c:pt>
                <c:pt idx="23">
                  <c:v>125</c:v>
                </c:pt>
                <c:pt idx="24">
                  <c:v>130</c:v>
                </c:pt>
                <c:pt idx="25">
                  <c:v>135</c:v>
                </c:pt>
                <c:pt idx="26">
                  <c:v>140</c:v>
                </c:pt>
                <c:pt idx="27">
                  <c:v>145</c:v>
                </c:pt>
                <c:pt idx="28">
                  <c:v>150</c:v>
                </c:pt>
                <c:pt idx="29">
                  <c:v>155</c:v>
                </c:pt>
                <c:pt idx="30">
                  <c:v>160</c:v>
                </c:pt>
                <c:pt idx="31">
                  <c:v>165</c:v>
                </c:pt>
                <c:pt idx="32">
                  <c:v>170</c:v>
                </c:pt>
                <c:pt idx="33">
                  <c:v>175</c:v>
                </c:pt>
                <c:pt idx="34">
                  <c:v>180</c:v>
                </c:pt>
                <c:pt idx="35">
                  <c:v>185</c:v>
                </c:pt>
                <c:pt idx="36">
                  <c:v>190</c:v>
                </c:pt>
                <c:pt idx="37">
                  <c:v>195</c:v>
                </c:pt>
                <c:pt idx="38">
                  <c:v>200</c:v>
                </c:pt>
              </c:numCache>
            </c:numRef>
          </c:xVal>
          <c:yVal>
            <c:numRef>
              <c:f>'Modelo KMV'!$P$2:$P$40</c:f>
              <c:numCache>
                <c:formatCode>General</c:formatCode>
                <c:ptCount val="39"/>
                <c:pt idx="0">
                  <c:v>7.7577169158707958E-12</c:v>
                </c:pt>
                <c:pt idx="1">
                  <c:v>5.3954457368774956E-8</c:v>
                </c:pt>
                <c:pt idx="2">
                  <c:v>1.0045923443066998E-5</c:v>
                </c:pt>
                <c:pt idx="3">
                  <c:v>3.2140260804150184E-4</c:v>
                </c:pt>
                <c:pt idx="4">
                  <c:v>3.7556098898808982E-3</c:v>
                </c:pt>
                <c:pt idx="5">
                  <c:v>2.3256166072457063E-2</c:v>
                </c:pt>
                <c:pt idx="6">
                  <c:v>9.3930557450043417E-2</c:v>
                </c:pt>
                <c:pt idx="7">
                  <c:v>0.28068629562705549</c:v>
                </c:pt>
                <c:pt idx="8">
                  <c:v>0.67315370147359133</c:v>
                </c:pt>
                <c:pt idx="9">
                  <c:v>1.3689713818783744</c:v>
                </c:pt>
                <c:pt idx="10">
                  <c:v>2.453850683526678</c:v>
                </c:pt>
                <c:pt idx="11">
                  <c:v>3.9867143357189363</c:v>
                </c:pt>
                <c:pt idx="12">
                  <c:v>5.9935900358745009</c:v>
                </c:pt>
                <c:pt idx="13">
                  <c:v>8.4694548042604225</c:v>
                </c:pt>
                <c:pt idx="14">
                  <c:v>11.385003828788662</c:v>
                </c:pt>
                <c:pt idx="15">
                  <c:v>14.695168785480739</c:v>
                </c:pt>
                <c:pt idx="16">
                  <c:v>18.347117265884037</c:v>
                </c:pt>
                <c:pt idx="17">
                  <c:v>22.28656468552343</c:v>
                </c:pt>
                <c:pt idx="18">
                  <c:v>26.46208570967179</c:v>
                </c:pt>
                <c:pt idx="19">
                  <c:v>30.827618179939222</c:v>
                </c:pt>
                <c:pt idx="20">
                  <c:v>35.343568398300107</c:v>
                </c:pt>
                <c:pt idx="21">
                  <c:v>39.976957454068597</c:v>
                </c:pt>
                <c:pt idx="22">
                  <c:v>44.70098601974334</c:v>
                </c:pt>
                <c:pt idx="23">
                  <c:v>49.494301366571548</c:v>
                </c:pt>
                <c:pt idx="24">
                  <c:v>54.340159094995727</c:v>
                </c:pt>
                <c:pt idx="25">
                  <c:v>59.225597705469696</c:v>
                </c:pt>
                <c:pt idx="26">
                  <c:v>64.140689899825048</c:v>
                </c:pt>
                <c:pt idx="27">
                  <c:v>69.077898268192016</c:v>
                </c:pt>
                <c:pt idx="28">
                  <c:v>74.031540773875903</c:v>
                </c:pt>
                <c:pt idx="29">
                  <c:v>78.997359121583855</c:v>
                </c:pt>
                <c:pt idx="30">
                  <c:v>83.972177286063527</c:v>
                </c:pt>
                <c:pt idx="31">
                  <c:v>88.953635653732363</c:v>
                </c:pt>
                <c:pt idx="32">
                  <c:v>93.939986638577139</c:v>
                </c:pt>
                <c:pt idx="33">
                  <c:v>98.929939142175698</c:v>
                </c:pt>
                <c:pt idx="34">
                  <c:v>103.92254114781704</c:v>
                </c:pt>
                <c:pt idx="35">
                  <c:v>108.91709168256101</c:v>
                </c:pt>
                <c:pt idx="36">
                  <c:v>113.91307515269983</c:v>
                </c:pt>
                <c:pt idx="37">
                  <c:v>118.91011257718733</c:v>
                </c:pt>
                <c:pt idx="38">
                  <c:v>123.90792549524059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C2-41EB-82C8-09E432E07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2715944"/>
        <c:axId val="1132719552"/>
      </c:scatterChart>
      <c:valAx>
        <c:axId val="113271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719552"/>
        <c:crosses val="autoZero"/>
        <c:crossBetween val="midCat"/>
      </c:valAx>
      <c:valAx>
        <c:axId val="1132719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7159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'Estimar Vol_KMV'!$T$1</c:f>
              <c:strCache>
                <c:ptCount val="1"/>
                <c:pt idx="0">
                  <c:v>ND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'Estimar Vol_KMV'!$S$2:$S$27</c:f>
              <c:numCache>
                <c:formatCode>General</c:formatCode>
                <c:ptCount val="26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-1.7090000000000001</c:v>
                </c:pt>
                <c:pt idx="7">
                  <c:v>-1.5</c:v>
                </c:pt>
                <c:pt idx="8">
                  <c:v>-1.25</c:v>
                </c:pt>
                <c:pt idx="9">
                  <c:v>-1</c:v>
                </c:pt>
                <c:pt idx="10">
                  <c:v>-0.75</c:v>
                </c:pt>
                <c:pt idx="11">
                  <c:v>-0.5</c:v>
                </c:pt>
                <c:pt idx="12">
                  <c:v>-0.25</c:v>
                </c:pt>
                <c:pt idx="13">
                  <c:v>0</c:v>
                </c:pt>
                <c:pt idx="14">
                  <c:v>0.25</c:v>
                </c:pt>
                <c:pt idx="15">
                  <c:v>0.5</c:v>
                </c:pt>
                <c:pt idx="16">
                  <c:v>0.75</c:v>
                </c:pt>
                <c:pt idx="17">
                  <c:v>1</c:v>
                </c:pt>
                <c:pt idx="18">
                  <c:v>1.25</c:v>
                </c:pt>
                <c:pt idx="19">
                  <c:v>1.5</c:v>
                </c:pt>
                <c:pt idx="20">
                  <c:v>1.75</c:v>
                </c:pt>
                <c:pt idx="21">
                  <c:v>2</c:v>
                </c:pt>
                <c:pt idx="22">
                  <c:v>2.25</c:v>
                </c:pt>
                <c:pt idx="23">
                  <c:v>2.5</c:v>
                </c:pt>
                <c:pt idx="24">
                  <c:v>2.75</c:v>
                </c:pt>
                <c:pt idx="25">
                  <c:v>3</c:v>
                </c:pt>
              </c:numCache>
            </c:numRef>
          </c:xVal>
          <c:yVal>
            <c:numRef>
              <c:f>'Estimar Vol_KMV'!$T$2:$T$27</c:f>
              <c:numCache>
                <c:formatCode>General</c:formatCode>
                <c:ptCount val="26"/>
                <c:pt idx="0">
                  <c:v>4.4318484119380075E-3</c:v>
                </c:pt>
                <c:pt idx="1">
                  <c:v>9.0935625015910529E-3</c:v>
                </c:pt>
                <c:pt idx="2">
                  <c:v>1.752830049356854E-2</c:v>
                </c:pt>
                <c:pt idx="3">
                  <c:v>3.1739651835667418E-2</c:v>
                </c:pt>
                <c:pt idx="4">
                  <c:v>5.3990966513188063E-2</c:v>
                </c:pt>
                <c:pt idx="5">
                  <c:v>8.6277318826511532E-2</c:v>
                </c:pt>
                <c:pt idx="6">
                  <c:v>9.2617327462974963E-2</c:v>
                </c:pt>
                <c:pt idx="7">
                  <c:v>0.12951759566589174</c:v>
                </c:pt>
                <c:pt idx="8">
                  <c:v>0.18264908538902191</c:v>
                </c:pt>
                <c:pt idx="9">
                  <c:v>0.24197072451914337</c:v>
                </c:pt>
                <c:pt idx="10">
                  <c:v>0.30113743215480443</c:v>
                </c:pt>
                <c:pt idx="11">
                  <c:v>0.35206532676429952</c:v>
                </c:pt>
                <c:pt idx="12">
                  <c:v>0.38666811680284924</c:v>
                </c:pt>
                <c:pt idx="13">
                  <c:v>0.3989422804014327</c:v>
                </c:pt>
                <c:pt idx="14">
                  <c:v>0.38666811680284924</c:v>
                </c:pt>
                <c:pt idx="15">
                  <c:v>0.35206532676429952</c:v>
                </c:pt>
                <c:pt idx="16">
                  <c:v>0.30113743215480443</c:v>
                </c:pt>
                <c:pt idx="17">
                  <c:v>0.24197072451914337</c:v>
                </c:pt>
                <c:pt idx="18">
                  <c:v>0.18264908538902191</c:v>
                </c:pt>
                <c:pt idx="19">
                  <c:v>0.12951759566589174</c:v>
                </c:pt>
                <c:pt idx="20">
                  <c:v>8.6277318826511532E-2</c:v>
                </c:pt>
                <c:pt idx="21">
                  <c:v>5.3990966513188063E-2</c:v>
                </c:pt>
                <c:pt idx="22">
                  <c:v>3.1739651835667418E-2</c:v>
                </c:pt>
                <c:pt idx="23">
                  <c:v>1.752830049356854E-2</c:v>
                </c:pt>
                <c:pt idx="24">
                  <c:v>9.0935625015910529E-3</c:v>
                </c:pt>
                <c:pt idx="25">
                  <c:v>4.4318484119380075E-3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99-4AC0-8A70-DC3685737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462712"/>
        <c:axId val="1104465992"/>
      </c:scatterChart>
      <c:valAx>
        <c:axId val="110446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4465992"/>
        <c:crosses val="autoZero"/>
        <c:crossBetween val="midCat"/>
      </c:valAx>
      <c:valAx>
        <c:axId val="11044659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4462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496993910243973E-2"/>
          <c:y val="0.11889875584564717"/>
          <c:w val="0.87344444013463829"/>
          <c:h val="0.837052118306720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Exemplo!$S$1</c:f>
              <c:strCache>
                <c:ptCount val="1"/>
                <c:pt idx="0">
                  <c:v>LND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Exemplo!$R$2:$R$42</c:f>
              <c:numCache>
                <c:formatCode>General</c:formatCode>
                <c:ptCount val="41"/>
                <c:pt idx="0">
                  <c:v>0.1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</c:numCache>
            </c:numRef>
          </c:xVal>
          <c:yVal>
            <c:numRef>
              <c:f>Exemplo!$S$2:$S$42</c:f>
              <c:numCache>
                <c:formatCode>0.00%</c:formatCode>
                <c:ptCount val="41"/>
                <c:pt idx="0">
                  <c:v>6.487574639240518E-50</c:v>
                </c:pt>
                <c:pt idx="1">
                  <c:v>2.4951310785292549E-8</c:v>
                </c:pt>
                <c:pt idx="2">
                  <c:v>1.2939646725529638E-5</c:v>
                </c:pt>
                <c:pt idx="3">
                  <c:v>1.8624873972102171E-4</c:v>
                </c:pt>
                <c:pt idx="4">
                  <c:v>7.9319902593647407E-4</c:v>
                </c:pt>
                <c:pt idx="5">
                  <c:v>1.894468371241929E-3</c:v>
                </c:pt>
                <c:pt idx="6">
                  <c:v>3.2739860900253739E-3</c:v>
                </c:pt>
                <c:pt idx="7">
                  <c:v>4.6333880488592738E-3</c:v>
                </c:pt>
                <c:pt idx="8">
                  <c:v>5.7474158822494546E-3</c:v>
                </c:pt>
                <c:pt idx="9">
                  <c:v>6.5079351221103846E-3</c:v>
                </c:pt>
                <c:pt idx="10">
                  <c:v>6.9028999396747222E-3</c:v>
                </c:pt>
                <c:pt idx="11">
                  <c:v>6.9778338856650787E-3</c:v>
                </c:pt>
                <c:pt idx="12">
                  <c:v>6.8028518941788876E-3</c:v>
                </c:pt>
                <c:pt idx="13">
                  <c:v>6.4511921266150055E-3</c:v>
                </c:pt>
                <c:pt idx="14">
                  <c:v>5.9878781738154051E-3</c:v>
                </c:pt>
                <c:pt idx="15">
                  <c:v>5.4652699685113501E-3</c:v>
                </c:pt>
                <c:pt idx="16">
                  <c:v>4.9225912360354616E-3</c:v>
                </c:pt>
                <c:pt idx="17">
                  <c:v>4.3873989485458233E-3</c:v>
                </c:pt>
                <c:pt idx="18">
                  <c:v>3.8777618649863464E-3</c:v>
                </c:pt>
                <c:pt idx="19">
                  <c:v>3.4044857574243512E-3</c:v>
                </c:pt>
                <c:pt idx="20">
                  <c:v>2.9730793207228693E-3</c:v>
                </c:pt>
                <c:pt idx="21">
                  <c:v>2.5853566649667258E-3</c:v>
                </c:pt>
                <c:pt idx="22">
                  <c:v>2.2406756661254284E-3</c:v>
                </c:pt>
                <c:pt idx="23">
                  <c:v>1.9368571161256195E-3</c:v>
                </c:pt>
                <c:pt idx="24">
                  <c:v>1.670843990132146E-3</c:v>
                </c:pt>
                <c:pt idx="25">
                  <c:v>1.4391590676816025E-3</c:v>
                </c:pt>
                <c:pt idx="26">
                  <c:v>1.2382115037198856E-3</c:v>
                </c:pt>
                <c:pt idx="27">
                  <c:v>1.0644934215238006E-3</c:v>
                </c:pt>
                <c:pt idx="28">
                  <c:v>9.1469843575619873E-4</c:v>
                </c:pt>
                <c:pt idx="29">
                  <c:v>7.8578612588224475E-4</c:v>
                </c:pt>
                <c:pt idx="30">
                  <c:v>6.7501010174748465E-4</c:v>
                </c:pt>
                <c:pt idx="31">
                  <c:v>5.7992234944937815E-4</c:v>
                </c:pt>
                <c:pt idx="32">
                  <c:v>4.9836280712900547E-4</c:v>
                </c:pt>
                <c:pt idx="33">
                  <c:v>4.2844036015730295E-4</c:v>
                </c:pt>
                <c:pt idx="34">
                  <c:v>3.6850944388885725E-4</c:v>
                </c:pt>
                <c:pt idx="35">
                  <c:v>3.1714501416209783E-4</c:v>
                </c:pt>
                <c:pt idx="36">
                  <c:v>2.7311764233045393E-4</c:v>
                </c:pt>
                <c:pt idx="37">
                  <c:v>2.3536979768345464E-4</c:v>
                </c:pt>
                <c:pt idx="38">
                  <c:v>2.0299390866802301E-4</c:v>
                </c:pt>
                <c:pt idx="39">
                  <c:v>1.7521248080658007E-4</c:v>
                </c:pt>
                <c:pt idx="40">
                  <c:v>1.5136034643008689E-4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D3-424A-9AC9-0D2845A6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206264"/>
        <c:axId val="969201344"/>
      </c:scatterChart>
      <c:valAx>
        <c:axId val="969206264"/>
        <c:scaling>
          <c:orientation val="minMax"/>
          <c:max val="4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201344"/>
        <c:crosses val="autoZero"/>
        <c:crossBetween val="midCat"/>
        <c:majorUnit val="25"/>
      </c:valAx>
      <c:valAx>
        <c:axId val="96920134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969206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5</xdr:row>
      <xdr:rowOff>76199</xdr:rowOff>
    </xdr:from>
    <xdr:to>
      <xdr:col>20</xdr:col>
      <xdr:colOff>114300</xdr:colOff>
      <xdr:row>21</xdr:row>
      <xdr:rowOff>180974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3</xdr:col>
          <xdr:colOff>0</xdr:colOff>
          <xdr:row>11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0</xdr:rowOff>
        </xdr:from>
        <xdr:to>
          <xdr:col>2</xdr:col>
          <xdr:colOff>466725</xdr:colOff>
          <xdr:row>16</xdr:row>
          <xdr:rowOff>104775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533400</xdr:colOff>
          <xdr:row>13</xdr:row>
          <xdr:rowOff>0</xdr:rowOff>
        </xdr:from>
        <xdr:to>
          <xdr:col>5</xdr:col>
          <xdr:colOff>428625</xdr:colOff>
          <xdr:row>16</xdr:row>
          <xdr:rowOff>104775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3</xdr:col>
          <xdr:colOff>161925</xdr:colOff>
          <xdr:row>22</xdr:row>
          <xdr:rowOff>104775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152400</xdr:rowOff>
        </xdr:from>
        <xdr:to>
          <xdr:col>3</xdr:col>
          <xdr:colOff>238125</xdr:colOff>
          <xdr:row>26</xdr:row>
          <xdr:rowOff>66675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28</xdr:row>
          <xdr:rowOff>0</xdr:rowOff>
        </xdr:from>
        <xdr:to>
          <xdr:col>3</xdr:col>
          <xdr:colOff>28575</xdr:colOff>
          <xdr:row>30</xdr:row>
          <xdr:rowOff>76200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66675</xdr:colOff>
      <xdr:row>11</xdr:row>
      <xdr:rowOff>133350</xdr:rowOff>
    </xdr:from>
    <xdr:to>
      <xdr:col>25</xdr:col>
      <xdr:colOff>9525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3</xdr:col>
          <xdr:colOff>0</xdr:colOff>
          <xdr:row>11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0</xdr:rowOff>
        </xdr:from>
        <xdr:to>
          <xdr:col>2</xdr:col>
          <xdr:colOff>466725</xdr:colOff>
          <xdr:row>16</xdr:row>
          <xdr:rowOff>104775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533400</xdr:colOff>
          <xdr:row>13</xdr:row>
          <xdr:rowOff>0</xdr:rowOff>
        </xdr:from>
        <xdr:to>
          <xdr:col>5</xdr:col>
          <xdr:colOff>428625</xdr:colOff>
          <xdr:row>16</xdr:row>
          <xdr:rowOff>104775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523874</xdr:colOff>
      <xdr:row>39</xdr:row>
      <xdr:rowOff>109537</xdr:rowOff>
    </xdr:from>
    <xdr:to>
      <xdr:col>22</xdr:col>
      <xdr:colOff>523874</xdr:colOff>
      <xdr:row>59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0.24959</cdr:x>
      <cdr:y>0.37484</cdr:y>
    </cdr:from>
    <cdr:to>
      <cdr:x>0.25123</cdr:x>
      <cdr:y>0.86277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17845D6-B0C8-822B-7307-2A32A32A4AC9}"/>
            </a:ext>
          </a:extLst>
        </cdr:cNvPr>
        <cdr:cNvCxnSpPr/>
      </cdr:nvCxnSpPr>
      <cdr:spPr>
        <a:xfrm xmlns:a="http://schemas.openxmlformats.org/drawingml/2006/main" flipV="1">
          <a:off x="1447801" y="1404938"/>
          <a:ext cx="9525" cy="18288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3" Type="http://schemas.openxmlformats.org/officeDocument/2006/relationships/oleObject" Target="../embeddings/oleObject7.bin"/><Relationship Id="rId7" Type="http://schemas.openxmlformats.org/officeDocument/2006/relationships/oleObject" Target="../embeddings/oleObject9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8.bin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DD72-E0A6-4F27-9AC6-F393518F970F}">
  <dimension ref="C1:P41"/>
  <sheetViews>
    <sheetView workbookViewId="0">
      <selection activeCell="C3" sqref="C3"/>
    </sheetView>
  </sheetViews>
  <sheetFormatPr defaultRowHeight="15" x14ac:dyDescent="0.25"/>
  <sheetData>
    <row r="1" spans="3:16" x14ac:dyDescent="0.25">
      <c r="C1" t="s">
        <v>11</v>
      </c>
      <c r="G1" t="s">
        <v>0</v>
      </c>
      <c r="H1">
        <v>2.5</v>
      </c>
      <c r="N1" t="s">
        <v>9</v>
      </c>
      <c r="O1" t="s">
        <v>1</v>
      </c>
      <c r="P1" t="s">
        <v>6</v>
      </c>
    </row>
    <row r="2" spans="3:16" x14ac:dyDescent="0.25">
      <c r="C2">
        <v>75</v>
      </c>
      <c r="F2" t="s">
        <v>10</v>
      </c>
      <c r="G2" t="s">
        <v>3</v>
      </c>
      <c r="H2" t="s">
        <v>2</v>
      </c>
      <c r="I2" t="s">
        <v>4</v>
      </c>
      <c r="J2" t="s">
        <v>5</v>
      </c>
      <c r="K2" t="s">
        <v>1</v>
      </c>
      <c r="L2" t="s">
        <v>12</v>
      </c>
      <c r="N2">
        <v>10</v>
      </c>
      <c r="O2">
        <v>0</v>
      </c>
      <c r="P2">
        <v>7.7577169158707958E-12</v>
      </c>
    </row>
    <row r="3" spans="3:16" x14ac:dyDescent="0.25">
      <c r="C3" t="s">
        <v>7</v>
      </c>
      <c r="D3" s="1">
        <v>0.05</v>
      </c>
      <c r="F3">
        <v>10</v>
      </c>
      <c r="G3">
        <f>(LN(F3/$C$2)+($D$3+0.5*$D$4^2)*$H$1)/($D$4*SQRT($H$1))</f>
        <v>-3.7470945766510684</v>
      </c>
      <c r="H3">
        <f>NORMSDIST(G3)</f>
        <v>8.9447324607876168E-5</v>
      </c>
      <c r="I3">
        <f t="shared" ref="I3:I41" si="0">G3-$D$4*SQRT($H$1)</f>
        <v>-4.2214362256763254</v>
      </c>
      <c r="J3">
        <f>NORMSDIST(I3)</f>
        <v>1.213753191206112E-5</v>
      </c>
      <c r="K3">
        <f>IF(F3-$C$2&gt;0,F3-$C$2,0)</f>
        <v>0</v>
      </c>
      <c r="L3">
        <f>F3*H3-$C$2*J3/EXP($D$3*$H$1)</f>
        <v>9.1123172272590102E-5</v>
      </c>
      <c r="N3">
        <f>N2+5</f>
        <v>15</v>
      </c>
      <c r="O3">
        <v>0</v>
      </c>
      <c r="P3">
        <v>5.3954457368774956E-8</v>
      </c>
    </row>
    <row r="4" spans="3:16" x14ac:dyDescent="0.25">
      <c r="C4" t="s">
        <v>8</v>
      </c>
      <c r="D4">
        <v>0.3</v>
      </c>
      <c r="F4">
        <f>F3+5</f>
        <v>15</v>
      </c>
      <c r="G4">
        <f t="shared" ref="G4:G41" si="1">(LN(F4/$C$2)+($D$3+0.5*$D$4^2)*$H$1)/($D$4*SQRT($H$1))</f>
        <v>-2.8922990744189319</v>
      </c>
      <c r="H4">
        <f t="shared" ref="H4:H41" si="2">NORMSDIST(G4)</f>
        <v>1.9121685458652303E-3</v>
      </c>
      <c r="I4">
        <f t="shared" si="0"/>
        <v>-3.3666407234441889</v>
      </c>
      <c r="J4">
        <f t="shared" ref="J4:J41" si="3">NORMSDIST(I4)</f>
        <v>3.8044874466917287E-4</v>
      </c>
      <c r="K4">
        <f t="shared" ref="K4:K41" si="4">IF(F4-$C$2&gt;0,F4-$C$2,0)</f>
        <v>0</v>
      </c>
      <c r="L4">
        <f t="shared" ref="L4:L41" si="5">F4*H4-$C$2*J4/EXP($D$3*$H$1)</f>
        <v>3.5016652807727533E-3</v>
      </c>
      <c r="N4">
        <f t="shared" ref="N4:N40" si="6">N3+5</f>
        <v>20</v>
      </c>
      <c r="O4">
        <v>0</v>
      </c>
      <c r="P4">
        <v>1.0045923443066998E-5</v>
      </c>
    </row>
    <row r="5" spans="3:16" x14ac:dyDescent="0.25">
      <c r="F5">
        <f t="shared" ref="F5:F41" si="7">F4+5</f>
        <v>20</v>
      </c>
      <c r="G5">
        <f t="shared" si="1"/>
        <v>-2.2858120137887932</v>
      </c>
      <c r="H5">
        <f t="shared" si="2"/>
        <v>1.1132629273325001E-2</v>
      </c>
      <c r="I5">
        <f t="shared" si="0"/>
        <v>-2.7601536628140502</v>
      </c>
      <c r="J5">
        <f t="shared" si="3"/>
        <v>2.8887089933745495E-3</v>
      </c>
      <c r="K5">
        <f t="shared" si="4"/>
        <v>0</v>
      </c>
      <c r="L5">
        <f t="shared" si="5"/>
        <v>3.1456830032402183E-2</v>
      </c>
      <c r="N5">
        <f t="shared" si="6"/>
        <v>25</v>
      </c>
      <c r="O5">
        <v>0</v>
      </c>
      <c r="P5">
        <v>3.2140260804150184E-4</v>
      </c>
    </row>
    <row r="6" spans="3:16" x14ac:dyDescent="0.25">
      <c r="F6">
        <f t="shared" si="7"/>
        <v>25</v>
      </c>
      <c r="G6">
        <f t="shared" si="1"/>
        <v>-1.8153841022344188</v>
      </c>
      <c r="H6">
        <f t="shared" si="2"/>
        <v>3.4732451236027834E-2</v>
      </c>
      <c r="I6">
        <f t="shared" si="0"/>
        <v>-2.2897257512596756</v>
      </c>
      <c r="J6">
        <f t="shared" si="3"/>
        <v>1.1018609827602846E-2</v>
      </c>
      <c r="K6">
        <f t="shared" si="4"/>
        <v>0</v>
      </c>
      <c r="L6">
        <f t="shared" si="5"/>
        <v>0.13901960262711888</v>
      </c>
      <c r="N6">
        <f t="shared" si="6"/>
        <v>30</v>
      </c>
      <c r="O6">
        <v>0</v>
      </c>
      <c r="P6">
        <v>3.7556098898808982E-3</v>
      </c>
    </row>
    <row r="7" spans="3:16" x14ac:dyDescent="0.25">
      <c r="F7">
        <f t="shared" si="7"/>
        <v>30</v>
      </c>
      <c r="G7">
        <f t="shared" si="1"/>
        <v>-1.4310165115566567</v>
      </c>
      <c r="H7">
        <f t="shared" si="2"/>
        <v>7.6212741498512385E-2</v>
      </c>
      <c r="I7">
        <f t="shared" si="0"/>
        <v>-1.9053581605819137</v>
      </c>
      <c r="J7">
        <f t="shared" si="3"/>
        <v>2.83667649868986E-2</v>
      </c>
      <c r="K7">
        <f t="shared" si="4"/>
        <v>0</v>
      </c>
      <c r="L7">
        <f t="shared" si="5"/>
        <v>0.40886357715913446</v>
      </c>
      <c r="N7">
        <f t="shared" si="6"/>
        <v>35</v>
      </c>
      <c r="O7">
        <v>0</v>
      </c>
      <c r="P7">
        <v>2.3256166072457063E-2</v>
      </c>
    </row>
    <row r="8" spans="3:16" x14ac:dyDescent="0.25">
      <c r="F8">
        <f t="shared" si="7"/>
        <v>35</v>
      </c>
      <c r="G8">
        <f t="shared" si="1"/>
        <v>-1.106038344144985</v>
      </c>
      <c r="H8">
        <f t="shared" si="2"/>
        <v>0.13435496160768273</v>
      </c>
      <c r="I8">
        <f t="shared" si="0"/>
        <v>-1.5803799931702418</v>
      </c>
      <c r="J8">
        <f t="shared" si="3"/>
        <v>5.700993525590884E-2</v>
      </c>
      <c r="K8">
        <f t="shared" si="4"/>
        <v>0</v>
      </c>
      <c r="L8">
        <f t="shared" si="5"/>
        <v>0.92909181027730536</v>
      </c>
      <c r="N8">
        <f t="shared" si="6"/>
        <v>40</v>
      </c>
      <c r="O8">
        <v>0</v>
      </c>
      <c r="P8">
        <v>9.3930557450043417E-2</v>
      </c>
    </row>
    <row r="9" spans="3:16" x14ac:dyDescent="0.25">
      <c r="F9">
        <f t="shared" si="7"/>
        <v>40</v>
      </c>
      <c r="G9">
        <f t="shared" si="1"/>
        <v>-0.82452945092651808</v>
      </c>
      <c r="H9">
        <f t="shared" si="2"/>
        <v>0.20481939441617752</v>
      </c>
      <c r="I9">
        <f t="shared" si="0"/>
        <v>-1.298871099951775</v>
      </c>
      <c r="J9">
        <f t="shared" si="3"/>
        <v>9.699408458236361E-2</v>
      </c>
      <c r="K9">
        <f t="shared" si="4"/>
        <v>0</v>
      </c>
      <c r="L9">
        <f t="shared" si="5"/>
        <v>1.7730023356747902</v>
      </c>
      <c r="N9">
        <f t="shared" si="6"/>
        <v>45</v>
      </c>
      <c r="O9">
        <v>0</v>
      </c>
      <c r="P9">
        <v>0.28068629562705549</v>
      </c>
    </row>
    <row r="10" spans="3:16" x14ac:dyDescent="0.25">
      <c r="F10">
        <f t="shared" si="7"/>
        <v>45</v>
      </c>
      <c r="G10">
        <f t="shared" si="1"/>
        <v>-0.57622100932452003</v>
      </c>
      <c r="H10">
        <f t="shared" si="2"/>
        <v>0.28223290315019178</v>
      </c>
      <c r="I10">
        <f t="shared" si="0"/>
        <v>-1.0505626583497769</v>
      </c>
      <c r="J10">
        <f t="shared" si="3"/>
        <v>0.1467297494772534</v>
      </c>
      <c r="K10">
        <f t="shared" si="4"/>
        <v>0</v>
      </c>
      <c r="L10">
        <f t="shared" si="5"/>
        <v>2.9888394344568976</v>
      </c>
      <c r="N10">
        <f t="shared" si="6"/>
        <v>50</v>
      </c>
      <c r="O10">
        <v>0</v>
      </c>
      <c r="P10">
        <v>0.67315370147359133</v>
      </c>
    </row>
    <row r="11" spans="3:16" x14ac:dyDescent="0.25">
      <c r="F11">
        <f t="shared" si="7"/>
        <v>50</v>
      </c>
      <c r="G11">
        <f t="shared" si="1"/>
        <v>-0.35410153937214345</v>
      </c>
      <c r="H11">
        <f t="shared" si="2"/>
        <v>0.36163139424194213</v>
      </c>
      <c r="I11">
        <f t="shared" si="0"/>
        <v>-0.82844318839740039</v>
      </c>
      <c r="J11">
        <f t="shared" si="3"/>
        <v>0.20370977816201341</v>
      </c>
      <c r="K11">
        <f t="shared" si="4"/>
        <v>0</v>
      </c>
      <c r="L11">
        <f t="shared" si="5"/>
        <v>4.5985760930342146</v>
      </c>
      <c r="N11">
        <f t="shared" si="6"/>
        <v>55</v>
      </c>
      <c r="O11">
        <v>0</v>
      </c>
      <c r="P11">
        <v>1.3689713818783744</v>
      </c>
    </row>
    <row r="12" spans="3:16" x14ac:dyDescent="0.25">
      <c r="F12">
        <f t="shared" si="7"/>
        <v>55</v>
      </c>
      <c r="G12">
        <f t="shared" si="1"/>
        <v>-0.1531700377842449</v>
      </c>
      <c r="H12">
        <f t="shared" si="2"/>
        <v>0.43913209260557756</v>
      </c>
      <c r="I12">
        <f t="shared" si="0"/>
        <v>-0.62751168680950176</v>
      </c>
      <c r="J12">
        <f t="shared" si="3"/>
        <v>0.26516193894563966</v>
      </c>
      <c r="K12">
        <f t="shared" si="4"/>
        <v>0</v>
      </c>
      <c r="L12">
        <f t="shared" si="5"/>
        <v>6.6019208580928215</v>
      </c>
      <c r="N12">
        <f t="shared" si="6"/>
        <v>60</v>
      </c>
      <c r="O12">
        <v>0</v>
      </c>
      <c r="P12">
        <v>2.453850683526678</v>
      </c>
    </row>
    <row r="13" spans="3:16" x14ac:dyDescent="0.25">
      <c r="F13">
        <f t="shared" si="7"/>
        <v>60</v>
      </c>
      <c r="G13">
        <f t="shared" si="1"/>
        <v>3.0266051305618862E-2</v>
      </c>
      <c r="H13">
        <f t="shared" si="2"/>
        <v>0.51207256435218684</v>
      </c>
      <c r="I13">
        <f t="shared" si="0"/>
        <v>-0.444075597719638</v>
      </c>
      <c r="J13">
        <f t="shared" si="3"/>
        <v>0.3284939642022574</v>
      </c>
      <c r="K13">
        <f t="shared" si="4"/>
        <v>0</v>
      </c>
      <c r="L13">
        <f t="shared" si="5"/>
        <v>8.9822359166641768</v>
      </c>
      <c r="N13">
        <f t="shared" si="6"/>
        <v>65</v>
      </c>
      <c r="O13">
        <v>0</v>
      </c>
      <c r="P13">
        <v>3.9867143357189363</v>
      </c>
    </row>
    <row r="14" spans="3:16" x14ac:dyDescent="0.25">
      <c r="F14">
        <f t="shared" si="7"/>
        <v>65</v>
      </c>
      <c r="G14">
        <f t="shared" si="1"/>
        <v>0.19901089552922707</v>
      </c>
      <c r="H14">
        <f t="shared" si="2"/>
        <v>0.57887288916599378</v>
      </c>
      <c r="I14">
        <f t="shared" si="0"/>
        <v>-0.27533075349602981</v>
      </c>
      <c r="J14">
        <f t="shared" si="3"/>
        <v>0.39153106964484535</v>
      </c>
      <c r="K14">
        <f t="shared" si="4"/>
        <v>0</v>
      </c>
      <c r="L14">
        <f t="shared" si="5"/>
        <v>11.712366078748879</v>
      </c>
      <c r="N14">
        <f t="shared" si="6"/>
        <v>70</v>
      </c>
      <c r="O14">
        <v>0</v>
      </c>
      <c r="P14">
        <v>5.9935900358745009</v>
      </c>
    </row>
    <row r="15" spans="3:16" x14ac:dyDescent="0.25">
      <c r="F15">
        <f t="shared" si="7"/>
        <v>70</v>
      </c>
      <c r="G15">
        <f t="shared" si="1"/>
        <v>0.35524421871729039</v>
      </c>
      <c r="H15">
        <f t="shared" si="2"/>
        <v>0.63879667975906118</v>
      </c>
      <c r="I15">
        <f t="shared" si="0"/>
        <v>-0.11909743030796649</v>
      </c>
      <c r="J15">
        <f t="shared" si="3"/>
        <v>0.45259908328593124</v>
      </c>
      <c r="K15">
        <f t="shared" si="4"/>
        <v>0</v>
      </c>
      <c r="L15">
        <f t="shared" si="5"/>
        <v>14.759470899699654</v>
      </c>
      <c r="N15">
        <f t="shared" si="6"/>
        <v>75</v>
      </c>
      <c r="O15">
        <v>0</v>
      </c>
      <c r="P15">
        <v>8.4694548042604225</v>
      </c>
    </row>
    <row r="16" spans="3:16" x14ac:dyDescent="0.25">
      <c r="F16">
        <f t="shared" si="7"/>
        <v>75</v>
      </c>
      <c r="G16">
        <f t="shared" si="1"/>
        <v>0.50069396285999335</v>
      </c>
      <c r="H16">
        <f t="shared" si="2"/>
        <v>0.69170673913307934</v>
      </c>
      <c r="I16">
        <f t="shared" si="0"/>
        <v>2.6352313834736463E-2</v>
      </c>
      <c r="J16">
        <f t="shared" si="3"/>
        <v>0.5105118355133762</v>
      </c>
      <c r="K16">
        <f t="shared" si="4"/>
        <v>0</v>
      </c>
      <c r="L16">
        <f t="shared" si="5"/>
        <v>18.088621916981126</v>
      </c>
      <c r="N16">
        <f t="shared" si="6"/>
        <v>80</v>
      </c>
      <c r="O16">
        <v>0</v>
      </c>
      <c r="P16">
        <v>11.385003828788662</v>
      </c>
    </row>
    <row r="17" spans="6:16" x14ac:dyDescent="0.25">
      <c r="F17">
        <f t="shared" si="7"/>
        <v>80</v>
      </c>
      <c r="G17">
        <f t="shared" si="1"/>
        <v>0.63675311193575734</v>
      </c>
      <c r="H17">
        <f t="shared" si="2"/>
        <v>0.7378571640117273</v>
      </c>
      <c r="I17">
        <f t="shared" si="0"/>
        <v>0.16241146291050046</v>
      </c>
      <c r="J17">
        <f t="shared" si="3"/>
        <v>0.56450907770787351</v>
      </c>
      <c r="K17">
        <f t="shared" si="4"/>
        <v>5</v>
      </c>
      <c r="L17">
        <f t="shared" si="5"/>
        <v>21.665259679081807</v>
      </c>
      <c r="N17">
        <f t="shared" si="6"/>
        <v>85</v>
      </c>
      <c r="O17">
        <v>5</v>
      </c>
      <c r="P17">
        <v>14.695168785480739</v>
      </c>
    </row>
    <row r="18" spans="6:16" x14ac:dyDescent="0.25">
      <c r="F18">
        <f t="shared" si="7"/>
        <v>85</v>
      </c>
      <c r="G18">
        <f t="shared" si="1"/>
        <v>0.7645610367532697</v>
      </c>
      <c r="H18">
        <f t="shared" si="2"/>
        <v>0.77773351096859655</v>
      </c>
      <c r="I18">
        <f t="shared" si="0"/>
        <v>0.29021938772801281</v>
      </c>
      <c r="J18">
        <f t="shared" si="3"/>
        <v>0.61417579753128448</v>
      </c>
      <c r="K18">
        <f t="shared" si="4"/>
        <v>10</v>
      </c>
      <c r="L18">
        <f t="shared" si="5"/>
        <v>25.456730510047045</v>
      </c>
      <c r="N18">
        <f t="shared" si="6"/>
        <v>90</v>
      </c>
      <c r="O18">
        <v>10</v>
      </c>
      <c r="P18">
        <v>18.347117265884037</v>
      </c>
    </row>
    <row r="19" spans="6:16" x14ac:dyDescent="0.25">
      <c r="F19">
        <f t="shared" si="7"/>
        <v>90</v>
      </c>
      <c r="G19">
        <f t="shared" si="1"/>
        <v>0.88506155353775551</v>
      </c>
      <c r="H19">
        <f t="shared" si="2"/>
        <v>0.81193828309699445</v>
      </c>
      <c r="I19">
        <f t="shared" si="0"/>
        <v>0.41071990451249862</v>
      </c>
      <c r="J19">
        <f t="shared" si="3"/>
        <v>0.6593610350143162</v>
      </c>
      <c r="K19">
        <f t="shared" si="4"/>
        <v>15</v>
      </c>
      <c r="L19">
        <f t="shared" si="5"/>
        <v>29.433140147346478</v>
      </c>
      <c r="N19">
        <f t="shared" si="6"/>
        <v>95</v>
      </c>
      <c r="O19">
        <v>15</v>
      </c>
      <c r="P19">
        <v>22.28656468552343</v>
      </c>
    </row>
    <row r="20" spans="6:16" x14ac:dyDescent="0.25">
      <c r="F20">
        <f t="shared" si="7"/>
        <v>95</v>
      </c>
      <c r="G20">
        <f t="shared" si="1"/>
        <v>0.99904526418467121</v>
      </c>
      <c r="H20">
        <f t="shared" si="2"/>
        <v>0.84111361767096504</v>
      </c>
      <c r="I20">
        <f t="shared" si="0"/>
        <v>0.52470361515941433</v>
      </c>
      <c r="J20">
        <f t="shared" si="3"/>
        <v>0.70010537810708184</v>
      </c>
      <c r="K20">
        <f t="shared" si="4"/>
        <v>20</v>
      </c>
      <c r="L20">
        <f t="shared" si="5"/>
        <v>33.567731604067923</v>
      </c>
      <c r="N20">
        <f t="shared" si="6"/>
        <v>100</v>
      </c>
      <c r="O20">
        <v>20</v>
      </c>
      <c r="P20">
        <v>26.46208570967179</v>
      </c>
    </row>
    <row r="21" spans="6:16" x14ac:dyDescent="0.25">
      <c r="F21">
        <f t="shared" si="7"/>
        <v>100</v>
      </c>
      <c r="G21">
        <f t="shared" si="1"/>
        <v>1.1071810234901318</v>
      </c>
      <c r="H21">
        <f t="shared" si="2"/>
        <v>0.86589216482264908</v>
      </c>
      <c r="I21">
        <f t="shared" si="0"/>
        <v>0.63283937446487493</v>
      </c>
      <c r="J21">
        <f t="shared" si="3"/>
        <v>0.73658072938573182</v>
      </c>
      <c r="K21">
        <f t="shared" si="4"/>
        <v>25</v>
      </c>
      <c r="L21">
        <f t="shared" si="5"/>
        <v>37.836950568284124</v>
      </c>
      <c r="N21">
        <f t="shared" si="6"/>
        <v>105</v>
      </c>
      <c r="O21">
        <v>25</v>
      </c>
      <c r="P21">
        <v>30.827618179939222</v>
      </c>
    </row>
    <row r="22" spans="6:16" x14ac:dyDescent="0.25">
      <c r="F22">
        <f t="shared" si="7"/>
        <v>105</v>
      </c>
      <c r="G22">
        <f t="shared" si="1"/>
        <v>1.2100397209494269</v>
      </c>
      <c r="H22">
        <f t="shared" si="2"/>
        <v>0.88686817424038766</v>
      </c>
      <c r="I22">
        <f t="shared" si="0"/>
        <v>0.73569807192417003</v>
      </c>
      <c r="J22">
        <f t="shared" si="3"/>
        <v>0.76904276834772434</v>
      </c>
      <c r="K22">
        <f t="shared" si="4"/>
        <v>30</v>
      </c>
      <c r="L22">
        <f t="shared" si="5"/>
        <v>42.220318718594505</v>
      </c>
      <c r="N22">
        <f t="shared" si="6"/>
        <v>110</v>
      </c>
      <c r="O22">
        <v>30</v>
      </c>
      <c r="P22">
        <v>35.343568398300107</v>
      </c>
    </row>
    <row r="23" spans="6:16" x14ac:dyDescent="0.25">
      <c r="F23">
        <f t="shared" si="7"/>
        <v>110</v>
      </c>
      <c r="G23">
        <f t="shared" si="1"/>
        <v>1.3081125250780306</v>
      </c>
      <c r="H23">
        <f t="shared" si="2"/>
        <v>0.90458242709961301</v>
      </c>
      <c r="I23">
        <f t="shared" si="0"/>
        <v>0.83377087605277367</v>
      </c>
      <c r="J23">
        <f t="shared" si="3"/>
        <v>0.79779494503616766</v>
      </c>
      <c r="K23">
        <f t="shared" si="4"/>
        <v>35</v>
      </c>
      <c r="L23">
        <f t="shared" si="5"/>
        <v>46.700199389052521</v>
      </c>
      <c r="N23">
        <f t="shared" si="6"/>
        <v>115</v>
      </c>
      <c r="O23">
        <v>35</v>
      </c>
      <c r="P23">
        <v>39.976957454068597</v>
      </c>
    </row>
    <row r="24" spans="6:16" x14ac:dyDescent="0.25">
      <c r="F24">
        <f t="shared" si="7"/>
        <v>115</v>
      </c>
      <c r="G24">
        <f t="shared" si="1"/>
        <v>1.4018250688999352</v>
      </c>
      <c r="H24">
        <f t="shared" si="2"/>
        <v>0.91951625474637377</v>
      </c>
      <c r="I24">
        <f t="shared" si="0"/>
        <v>0.92748341987467831</v>
      </c>
      <c r="J24">
        <f t="shared" si="3"/>
        <v>0.82316220182555622</v>
      </c>
      <c r="K24">
        <f t="shared" si="4"/>
        <v>40</v>
      </c>
      <c r="L24">
        <f t="shared" si="5"/>
        <v>51.261512288150314</v>
      </c>
      <c r="N24">
        <f t="shared" si="6"/>
        <v>120</v>
      </c>
      <c r="O24">
        <v>40</v>
      </c>
      <c r="P24">
        <v>44.70098601974334</v>
      </c>
    </row>
    <row r="25" spans="6:16" x14ac:dyDescent="0.25">
      <c r="F25">
        <f t="shared" si="7"/>
        <v>120</v>
      </c>
      <c r="G25">
        <f t="shared" si="1"/>
        <v>1.4915486141678944</v>
      </c>
      <c r="H25">
        <f t="shared" si="2"/>
        <v>0.93209124111590425</v>
      </c>
      <c r="I25">
        <f t="shared" si="0"/>
        <v>1.0172069651426376</v>
      </c>
      <c r="J25">
        <f t="shared" si="3"/>
        <v>0.84547250834876453</v>
      </c>
      <c r="K25">
        <f t="shared" si="4"/>
        <v>45</v>
      </c>
      <c r="L25">
        <f t="shared" si="5"/>
        <v>55.891433696042526</v>
      </c>
      <c r="N25">
        <f t="shared" si="6"/>
        <v>125</v>
      </c>
      <c r="O25">
        <v>45</v>
      </c>
      <c r="P25">
        <v>49.494301366571548</v>
      </c>
    </row>
    <row r="26" spans="6:16" x14ac:dyDescent="0.25">
      <c r="F26">
        <f t="shared" si="7"/>
        <v>125</v>
      </c>
      <c r="G26">
        <f t="shared" si="1"/>
        <v>1.5776089350445068</v>
      </c>
      <c r="H26">
        <f t="shared" si="2"/>
        <v>0.94267226078659971</v>
      </c>
      <c r="I26">
        <f t="shared" si="0"/>
        <v>1.1032672860192498</v>
      </c>
      <c r="J26">
        <f t="shared" si="3"/>
        <v>0.86504444561036098</v>
      </c>
      <c r="K26">
        <f t="shared" si="4"/>
        <v>50</v>
      </c>
      <c r="L26">
        <f t="shared" si="5"/>
        <v>60.579104309638566</v>
      </c>
      <c r="N26">
        <f t="shared" si="6"/>
        <v>130</v>
      </c>
      <c r="O26">
        <v>50</v>
      </c>
      <c r="P26">
        <v>54.340159094995727</v>
      </c>
    </row>
    <row r="27" spans="6:16" x14ac:dyDescent="0.25">
      <c r="F27">
        <f t="shared" si="7"/>
        <v>130</v>
      </c>
      <c r="G27">
        <f t="shared" si="1"/>
        <v>1.6602934583915023</v>
      </c>
      <c r="H27">
        <f t="shared" si="2"/>
        <v>0.95157228445821485</v>
      </c>
      <c r="I27">
        <f t="shared" si="0"/>
        <v>1.1859518093662453</v>
      </c>
      <c r="J27">
        <f t="shared" si="3"/>
        <v>0.88217933440803586</v>
      </c>
      <c r="K27">
        <f t="shared" si="4"/>
        <v>55</v>
      </c>
      <c r="L27">
        <f t="shared" si="5"/>
        <v>65.315357219125559</v>
      </c>
      <c r="N27">
        <f t="shared" si="6"/>
        <v>135</v>
      </c>
      <c r="O27">
        <v>55</v>
      </c>
      <c r="P27">
        <v>59.225597705469696</v>
      </c>
    </row>
    <row r="28" spans="6:16" x14ac:dyDescent="0.25">
      <c r="F28">
        <f t="shared" si="7"/>
        <v>135</v>
      </c>
      <c r="G28">
        <f t="shared" si="1"/>
        <v>1.7398570557698925</v>
      </c>
      <c r="H28">
        <f t="shared" si="2"/>
        <v>0.9590579395186567</v>
      </c>
      <c r="I28">
        <f t="shared" si="0"/>
        <v>1.2655154067446355</v>
      </c>
      <c r="J28">
        <f t="shared" si="3"/>
        <v>0.89715668547650052</v>
      </c>
      <c r="K28">
        <f t="shared" si="4"/>
        <v>60</v>
      </c>
      <c r="L28">
        <f t="shared" si="5"/>
        <v>70.092472130063129</v>
      </c>
      <c r="N28">
        <f t="shared" si="6"/>
        <v>140</v>
      </c>
      <c r="O28">
        <v>60</v>
      </c>
      <c r="P28">
        <v>64.140689899825048</v>
      </c>
    </row>
    <row r="29" spans="6:16" x14ac:dyDescent="0.25">
      <c r="F29">
        <f t="shared" si="7"/>
        <v>140</v>
      </c>
      <c r="G29">
        <f t="shared" si="1"/>
        <v>1.8165267815795656</v>
      </c>
      <c r="H29">
        <f t="shared" si="2"/>
        <v>0.96535519823662275</v>
      </c>
      <c r="I29">
        <f t="shared" si="0"/>
        <v>1.3421851325543086</v>
      </c>
      <c r="J29">
        <f t="shared" si="3"/>
        <v>0.91023201207078674</v>
      </c>
      <c r="K29">
        <f t="shared" si="4"/>
        <v>65</v>
      </c>
      <c r="L29">
        <f t="shared" si="5"/>
        <v>74.903957906691204</v>
      </c>
      <c r="N29">
        <f t="shared" si="6"/>
        <v>145</v>
      </c>
      <c r="O29">
        <v>65</v>
      </c>
      <c r="P29">
        <v>69.077898268192016</v>
      </c>
    </row>
    <row r="30" spans="6:16" x14ac:dyDescent="0.25">
      <c r="F30">
        <f t="shared" si="7"/>
        <v>145</v>
      </c>
      <c r="G30">
        <f t="shared" si="1"/>
        <v>1.8905057793829014</v>
      </c>
      <c r="H30">
        <f t="shared" si="2"/>
        <v>0.97065482581663343</v>
      </c>
      <c r="I30">
        <f t="shared" si="0"/>
        <v>1.4161641303576444</v>
      </c>
      <c r="J30">
        <f t="shared" si="3"/>
        <v>0.92163627236714751</v>
      </c>
      <c r="K30">
        <f t="shared" si="4"/>
        <v>70</v>
      </c>
      <c r="L30">
        <f t="shared" si="5"/>
        <v>79.744363067890319</v>
      </c>
      <c r="N30">
        <f t="shared" si="6"/>
        <v>150</v>
      </c>
      <c r="O30">
        <v>70</v>
      </c>
      <c r="P30">
        <v>74.031540773875903</v>
      </c>
    </row>
    <row r="31" spans="6:16" x14ac:dyDescent="0.25">
      <c r="F31">
        <f t="shared" si="7"/>
        <v>150</v>
      </c>
      <c r="G31">
        <f t="shared" si="1"/>
        <v>1.9619765257222685</v>
      </c>
      <c r="H31">
        <f t="shared" si="2"/>
        <v>0.97511739135276854</v>
      </c>
      <c r="I31">
        <f t="shared" si="0"/>
        <v>1.4876348766970118</v>
      </c>
      <c r="J31">
        <f t="shared" si="3"/>
        <v>0.93157639475283893</v>
      </c>
      <c r="K31">
        <f t="shared" si="4"/>
        <v>75</v>
      </c>
      <c r="L31">
        <f t="shared" si="5"/>
        <v>84.609112486142436</v>
      </c>
      <c r="N31">
        <f t="shared" si="6"/>
        <v>155</v>
      </c>
      <c r="O31">
        <v>75</v>
      </c>
      <c r="P31">
        <v>78.997359121583855</v>
      </c>
    </row>
    <row r="32" spans="6:16" x14ac:dyDescent="0.25">
      <c r="F32">
        <f t="shared" si="7"/>
        <v>155</v>
      </c>
      <c r="G32">
        <f t="shared" si="1"/>
        <v>2.0311035418516177</v>
      </c>
      <c r="H32">
        <f t="shared" si="2"/>
        <v>0.97887775387322307</v>
      </c>
      <c r="I32">
        <f t="shared" si="0"/>
        <v>1.5567618928263607</v>
      </c>
      <c r="J32">
        <f t="shared" si="3"/>
        <v>0.94023648610543198</v>
      </c>
      <c r="K32">
        <f t="shared" si="4"/>
        <v>80</v>
      </c>
      <c r="L32">
        <f t="shared" si="5"/>
        <v>89.494367848969489</v>
      </c>
      <c r="N32">
        <f t="shared" si="6"/>
        <v>160</v>
      </c>
      <c r="O32">
        <v>80</v>
      </c>
      <c r="P32">
        <v>83.972177286063527</v>
      </c>
    </row>
    <row r="33" spans="6:16" x14ac:dyDescent="0.25">
      <c r="F33">
        <f t="shared" si="7"/>
        <v>160</v>
      </c>
      <c r="G33">
        <f t="shared" si="1"/>
        <v>2.0980356747980329</v>
      </c>
      <c r="H33">
        <f t="shared" si="2"/>
        <v>0.98204900296194331</v>
      </c>
      <c r="I33">
        <f t="shared" si="0"/>
        <v>1.6236940257727759</v>
      </c>
      <c r="J33">
        <f t="shared" si="3"/>
        <v>0.94777943664948694</v>
      </c>
      <c r="K33">
        <f t="shared" si="4"/>
        <v>85</v>
      </c>
      <c r="L33">
        <f t="shared" si="5"/>
        <v>94.396909185670069</v>
      </c>
      <c r="N33">
        <f t="shared" si="6"/>
        <v>165</v>
      </c>
      <c r="O33">
        <v>85</v>
      </c>
      <c r="P33">
        <v>88.953635653732363</v>
      </c>
    </row>
    <row r="34" spans="6:16" x14ac:dyDescent="0.25">
      <c r="F34">
        <f t="shared" si="7"/>
        <v>165</v>
      </c>
      <c r="G34">
        <f t="shared" si="1"/>
        <v>2.1629080273101673</v>
      </c>
      <c r="H34">
        <f t="shared" si="2"/>
        <v>0.98472587287633728</v>
      </c>
      <c r="I34">
        <f t="shared" si="0"/>
        <v>1.6885663782849103</v>
      </c>
      <c r="J34">
        <f t="shared" si="3"/>
        <v>0.95434872080352984</v>
      </c>
      <c r="K34">
        <f t="shared" si="4"/>
        <v>90</v>
      </c>
      <c r="L34">
        <f t="shared" si="5"/>
        <v>99.314034767494192</v>
      </c>
      <c r="N34">
        <f t="shared" si="6"/>
        <v>170</v>
      </c>
      <c r="O34">
        <v>90</v>
      </c>
      <c r="P34">
        <v>93.939986638577139</v>
      </c>
    </row>
    <row r="35" spans="6:16" x14ac:dyDescent="0.25">
      <c r="F35">
        <f t="shared" si="7"/>
        <v>170</v>
      </c>
      <c r="G35">
        <f t="shared" si="1"/>
        <v>2.225843599615545</v>
      </c>
      <c r="H35">
        <f t="shared" si="2"/>
        <v>0.98698767036343915</v>
      </c>
      <c r="I35">
        <f t="shared" si="0"/>
        <v>1.751501950590288</v>
      </c>
      <c r="J35">
        <f t="shared" si="3"/>
        <v>0.96007025720608263</v>
      </c>
      <c r="K35">
        <f t="shared" si="4"/>
        <v>95</v>
      </c>
      <c r="L35">
        <f t="shared" si="5"/>
        <v>104.24347684318737</v>
      </c>
      <c r="N35">
        <f t="shared" si="6"/>
        <v>175</v>
      </c>
      <c r="O35">
        <v>95</v>
      </c>
      <c r="P35">
        <v>98.929939142175698</v>
      </c>
    </row>
    <row r="36" spans="6:16" x14ac:dyDescent="0.25">
      <c r="F36">
        <f t="shared" si="7"/>
        <v>175</v>
      </c>
      <c r="G36">
        <f t="shared" si="1"/>
        <v>2.2869546931339406</v>
      </c>
      <c r="H36">
        <f t="shared" si="2"/>
        <v>0.9889007661332827</v>
      </c>
      <c r="I36">
        <f t="shared" si="0"/>
        <v>1.8126130441086836</v>
      </c>
      <c r="J36">
        <f t="shared" si="3"/>
        <v>0.96505423773958721</v>
      </c>
      <c r="K36">
        <f t="shared" si="4"/>
        <v>100</v>
      </c>
      <c r="L36">
        <f t="shared" si="5"/>
        <v>109.18333090097521</v>
      </c>
      <c r="N36">
        <f t="shared" si="6"/>
        <v>180</v>
      </c>
      <c r="O36">
        <v>100</v>
      </c>
      <c r="P36">
        <v>103.92254114781704</v>
      </c>
    </row>
    <row r="37" spans="6:16" x14ac:dyDescent="0.25">
      <c r="F37">
        <f t="shared" si="7"/>
        <v>180</v>
      </c>
      <c r="G37">
        <f t="shared" si="1"/>
        <v>2.3463441164000307</v>
      </c>
      <c r="H37">
        <f t="shared" si="2"/>
        <v>0.99052070262050607</v>
      </c>
      <c r="I37">
        <f t="shared" si="0"/>
        <v>1.8720024673747737</v>
      </c>
      <c r="J37">
        <f t="shared" si="3"/>
        <v>0.9693968689218837</v>
      </c>
      <c r="K37">
        <f t="shared" si="4"/>
        <v>105</v>
      </c>
      <c r="L37">
        <f t="shared" si="5"/>
        <v>114.13199640678353</v>
      </c>
      <c r="N37">
        <f t="shared" si="6"/>
        <v>185</v>
      </c>
      <c r="O37">
        <v>105</v>
      </c>
      <c r="P37">
        <v>108.91709168256101</v>
      </c>
    </row>
    <row r="38" spans="6:16" x14ac:dyDescent="0.25">
      <c r="F38">
        <f t="shared" si="7"/>
        <v>185</v>
      </c>
      <c r="G38">
        <f t="shared" si="1"/>
        <v>2.4041062257244339</v>
      </c>
      <c r="H38">
        <f t="shared" si="2"/>
        <v>0.99189396918466888</v>
      </c>
      <c r="I38">
        <f t="shared" si="0"/>
        <v>1.9297645766991769</v>
      </c>
      <c r="J38">
        <f t="shared" si="3"/>
        <v>0.97318199276479678</v>
      </c>
      <c r="K38">
        <f t="shared" si="4"/>
        <v>110</v>
      </c>
      <c r="L38">
        <f t="shared" si="5"/>
        <v>119.08812722921095</v>
      </c>
      <c r="N38">
        <f t="shared" si="6"/>
        <v>190</v>
      </c>
      <c r="O38">
        <v>110</v>
      </c>
      <c r="P38">
        <v>113.91307515269983</v>
      </c>
    </row>
    <row r="39" spans="6:16" x14ac:dyDescent="0.25">
      <c r="F39">
        <f t="shared" si="7"/>
        <v>190</v>
      </c>
      <c r="G39">
        <f t="shared" si="1"/>
        <v>2.4603278270469464</v>
      </c>
      <c r="H39">
        <f t="shared" si="2"/>
        <v>0.99305949216430756</v>
      </c>
      <c r="I39">
        <f t="shared" si="0"/>
        <v>1.9859861780216894</v>
      </c>
      <c r="J39">
        <f t="shared" si="3"/>
        <v>0.97648257065605726</v>
      </c>
      <c r="K39">
        <f t="shared" si="4"/>
        <v>115</v>
      </c>
      <c r="L39">
        <f t="shared" si="5"/>
        <v>124.05059020883239</v>
      </c>
      <c r="N39">
        <f t="shared" si="6"/>
        <v>195</v>
      </c>
      <c r="O39">
        <v>115</v>
      </c>
      <c r="P39">
        <v>118.91011257718733</v>
      </c>
    </row>
    <row r="40" spans="6:16" x14ac:dyDescent="0.25">
      <c r="F40">
        <f t="shared" si="7"/>
        <v>195</v>
      </c>
      <c r="G40">
        <f t="shared" si="1"/>
        <v>2.5150889606236388</v>
      </c>
      <c r="H40">
        <f t="shared" si="2"/>
        <v>0.99404988241007675</v>
      </c>
      <c r="I40">
        <f t="shared" si="0"/>
        <v>2.0407473115983819</v>
      </c>
      <c r="J40">
        <f t="shared" si="3"/>
        <v>0.97936202495971814</v>
      </c>
      <c r="K40">
        <f t="shared" si="4"/>
        <v>120</v>
      </c>
      <c r="L40">
        <f t="shared" si="5"/>
        <v>129.01843055477033</v>
      </c>
      <c r="N40">
        <f t="shared" si="6"/>
        <v>200</v>
      </c>
      <c r="O40">
        <v>120</v>
      </c>
      <c r="P40">
        <v>123.90792549524059</v>
      </c>
    </row>
    <row r="41" spans="6:16" x14ac:dyDescent="0.25">
      <c r="F41">
        <f t="shared" si="7"/>
        <v>200</v>
      </c>
      <c r="G41">
        <f t="shared" si="1"/>
        <v>2.5684635863524075</v>
      </c>
      <c r="H41">
        <f t="shared" si="2"/>
        <v>0.99489247781503842</v>
      </c>
      <c r="I41">
        <f t="shared" si="0"/>
        <v>2.0941219373271505</v>
      </c>
      <c r="J41">
        <f t="shared" si="3"/>
        <v>0.98187544033033447</v>
      </c>
      <c r="K41">
        <f t="shared" si="4"/>
        <v>125</v>
      </c>
      <c r="L41">
        <f t="shared" si="5"/>
        <v>133.99084295185224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9A8C4-14A3-48BA-9882-65500C40C99D}">
  <dimension ref="A1:U72"/>
  <sheetViews>
    <sheetView topLeftCell="B1" zoomScaleNormal="100" workbookViewId="0">
      <selection activeCell="Q5" sqref="Q5"/>
    </sheetView>
  </sheetViews>
  <sheetFormatPr defaultRowHeight="15" x14ac:dyDescent="0.25"/>
  <sheetData>
    <row r="1" spans="1:21" x14ac:dyDescent="0.25">
      <c r="B1" t="s">
        <v>15</v>
      </c>
      <c r="C1">
        <v>125</v>
      </c>
      <c r="D1" t="s">
        <v>25</v>
      </c>
      <c r="G1" t="s">
        <v>0</v>
      </c>
      <c r="H1">
        <v>2.5</v>
      </c>
      <c r="S1" t="s">
        <v>9</v>
      </c>
      <c r="T1" t="s">
        <v>28</v>
      </c>
      <c r="U1" t="s">
        <v>29</v>
      </c>
    </row>
    <row r="2" spans="1:21" x14ac:dyDescent="0.25">
      <c r="B2" t="s">
        <v>11</v>
      </c>
      <c r="C2">
        <v>75</v>
      </c>
      <c r="F2" t="s">
        <v>10</v>
      </c>
      <c r="G2" t="s">
        <v>3</v>
      </c>
      <c r="H2" t="s">
        <v>2</v>
      </c>
      <c r="I2" t="s">
        <v>4</v>
      </c>
      <c r="J2" t="s">
        <v>5</v>
      </c>
      <c r="K2" t="s">
        <v>1</v>
      </c>
      <c r="L2" t="s">
        <v>12</v>
      </c>
      <c r="S2">
        <v>-3</v>
      </c>
      <c r="T2">
        <f>_xlfn.NORM.S.DIST(S2,FALSE)</f>
        <v>4.4318484119380075E-3</v>
      </c>
      <c r="U2">
        <f>_xlfn.NORM.S.DIST(S2,TRUE)</f>
        <v>1.3498980316300933E-3</v>
      </c>
    </row>
    <row r="3" spans="1:21" x14ac:dyDescent="0.25">
      <c r="A3" t="s">
        <v>24</v>
      </c>
      <c r="C3" t="s">
        <v>7</v>
      </c>
      <c r="D3" s="1">
        <v>0.05</v>
      </c>
      <c r="F3">
        <v>70</v>
      </c>
      <c r="G3">
        <f>(LN(F3/$C$2)+($D$3+0.5*$D$4^2)*$H$1)/($D$4*SQRT($H$1))</f>
        <v>0.35524421871729039</v>
      </c>
      <c r="H3">
        <f>NORMSDIST(G3)</f>
        <v>0.63879667975906118</v>
      </c>
      <c r="I3">
        <f t="shared" ref="I3:I41" si="0">G3-$D$4*SQRT($H$1)</f>
        <v>-0.11909743030796649</v>
      </c>
      <c r="J3">
        <f>NORMSDIST(I3)</f>
        <v>0.45259908328593124</v>
      </c>
      <c r="K3">
        <f>IF(F3-$C$2&gt;0,F3-$C$2,0)</f>
        <v>0</v>
      </c>
      <c r="L3">
        <f>F3*H3-$C$2*J3/EXP($D$3*$H$1)</f>
        <v>14.759470899699654</v>
      </c>
      <c r="N3" t="s">
        <v>21</v>
      </c>
      <c r="O3">
        <f>(LN($C$1)-LN($C$2)+($D$3+0.5*$D$4^2)*$H$1)/($D$4*SQRT($H$1))</f>
        <v>1.5776089350445084</v>
      </c>
      <c r="Q3">
        <f>(LN($C$1)-LN($C$2)+($D$3+0.5*$D$4^2)*$H$1)</f>
        <v>0.74832562376599143</v>
      </c>
      <c r="S3">
        <f>S2+0.25</f>
        <v>-2.75</v>
      </c>
      <c r="T3">
        <f t="shared" ref="T3:T27" si="1">_xlfn.NORM.S.DIST(S3,FALSE)</f>
        <v>9.0935625015910529E-3</v>
      </c>
      <c r="U3">
        <f t="shared" ref="U3:U27" si="2">_xlfn.NORM.S.DIST(S3,TRUE)</f>
        <v>2.9797632350545551E-3</v>
      </c>
    </row>
    <row r="4" spans="1:21" x14ac:dyDescent="0.25">
      <c r="C4" t="s">
        <v>8</v>
      </c>
      <c r="D4">
        <v>0.3</v>
      </c>
      <c r="E4">
        <f>0.5*$D$4^2</f>
        <v>4.4999999999999998E-2</v>
      </c>
      <c r="F4">
        <f>F3+1</f>
        <v>71</v>
      </c>
      <c r="G4">
        <f t="shared" ref="G4:G41" si="3">(LN(F4/$C$2)+($D$3+0.5*$D$4^2)*$H$1)/($D$4*SQRT($H$1))</f>
        <v>0.38514805495242804</v>
      </c>
      <c r="H4">
        <f t="shared" ref="H4:H41" si="4">NORMSDIST(G4)</f>
        <v>0.6499361368476777</v>
      </c>
      <c r="I4">
        <f t="shared" si="0"/>
        <v>-8.9193594072828841E-2</v>
      </c>
      <c r="J4">
        <f t="shared" ref="J4:J41" si="5">NORMSDIST(I4)</f>
        <v>0.46446402813869975</v>
      </c>
      <c r="K4">
        <f t="shared" ref="K4:K41" si="6">IF(F4-$C$2&gt;0,F4-$C$2,0)</f>
        <v>0</v>
      </c>
      <c r="L4">
        <f t="shared" ref="L4:L41" si="7">F4*H4-$C$2*J4/EXP($D$3*$H$1)</f>
        <v>15.403860751607599</v>
      </c>
      <c r="N4" t="s">
        <v>20</v>
      </c>
      <c r="O4">
        <f>-O3</f>
        <v>-1.5776089350445084</v>
      </c>
      <c r="P4">
        <f>_xlfn.NORM.S.DIST($O$4,TRUE)</f>
        <v>5.7327739213400154E-2</v>
      </c>
      <c r="Q4">
        <f>C2*EXP(Q5)</f>
        <v>168.7323509470005</v>
      </c>
      <c r="S4">
        <f t="shared" ref="S4:S7" si="8">S3+0.25</f>
        <v>-2.5</v>
      </c>
      <c r="T4">
        <f t="shared" si="1"/>
        <v>1.752830049356854E-2</v>
      </c>
      <c r="U4">
        <f t="shared" si="2"/>
        <v>6.2096653257761331E-3</v>
      </c>
    </row>
    <row r="5" spans="1:21" x14ac:dyDescent="0.25">
      <c r="C5" t="s">
        <v>16</v>
      </c>
      <c r="D5" s="1">
        <v>7.4999999999999997E-2</v>
      </c>
      <c r="F5">
        <f t="shared" ref="F5:F41" si="9">F4+1</f>
        <v>72</v>
      </c>
      <c r="G5">
        <f t="shared" si="3"/>
        <v>0.41463364198338076</v>
      </c>
      <c r="H5">
        <f t="shared" si="4"/>
        <v>0.66079494170387854</v>
      </c>
      <c r="I5">
        <f t="shared" si="0"/>
        <v>-5.9708007041876121E-2</v>
      </c>
      <c r="J5">
        <f t="shared" si="5"/>
        <v>0.47619409720899208</v>
      </c>
      <c r="K5">
        <f t="shared" si="6"/>
        <v>0</v>
      </c>
      <c r="L5">
        <f t="shared" si="7"/>
        <v>16.059249616479011</v>
      </c>
      <c r="N5" t="s">
        <v>22</v>
      </c>
      <c r="O5">
        <f>(LN($C$1)-LN($C$2)+($D$5+0.5*$D$4^2)*$H$1)/($D$4*SQRT($H$1))</f>
        <v>1.7093705042181908</v>
      </c>
      <c r="Q5">
        <f>(LN($C$1)-LN($C$2)+($D$5+0.5*$D$4^2)*$H$1)</f>
        <v>0.81082562376599143</v>
      </c>
      <c r="S5">
        <f t="shared" si="8"/>
        <v>-2.25</v>
      </c>
      <c r="T5">
        <f t="shared" si="1"/>
        <v>3.1739651835667418E-2</v>
      </c>
      <c r="U5">
        <f t="shared" si="2"/>
        <v>1.2224472655044696E-2</v>
      </c>
    </row>
    <row r="6" spans="1:21" x14ac:dyDescent="0.25">
      <c r="F6">
        <f t="shared" si="9"/>
        <v>73</v>
      </c>
      <c r="G6">
        <f t="shared" si="3"/>
        <v>0.4437125182757754</v>
      </c>
      <c r="H6">
        <f t="shared" si="4"/>
        <v>0.67137477815122482</v>
      </c>
      <c r="I6">
        <f t="shared" si="0"/>
        <v>-3.0629130749481481E-2</v>
      </c>
      <c r="J6">
        <f t="shared" si="5"/>
        <v>0.48778265503271712</v>
      </c>
      <c r="K6">
        <f t="shared" si="6"/>
        <v>0</v>
      </c>
      <c r="L6">
        <f t="shared" si="7"/>
        <v>16.725357639974682</v>
      </c>
      <c r="N6" t="s">
        <v>23</v>
      </c>
      <c r="O6">
        <f>-O5</f>
        <v>-1.7093705042181908</v>
      </c>
      <c r="P6">
        <f>_xlfn.NORM.S.DIST($O$6,TRUE)</f>
        <v>4.3691170491648341E-2</v>
      </c>
      <c r="S6">
        <f t="shared" si="8"/>
        <v>-2</v>
      </c>
      <c r="T6">
        <f t="shared" si="1"/>
        <v>5.3990966513188063E-2</v>
      </c>
      <c r="U6">
        <f t="shared" si="2"/>
        <v>2.2750131948179191E-2</v>
      </c>
    </row>
    <row r="7" spans="1:21" x14ac:dyDescent="0.25">
      <c r="C7" t="s">
        <v>13</v>
      </c>
      <c r="D7" s="1">
        <v>7.4999999999999997E-2</v>
      </c>
      <c r="F7">
        <f t="shared" si="9"/>
        <v>74</v>
      </c>
      <c r="G7">
        <f t="shared" si="3"/>
        <v>0.47239575130778383</v>
      </c>
      <c r="H7">
        <f t="shared" si="4"/>
        <v>0.68167783179062735</v>
      </c>
      <c r="I7">
        <f t="shared" si="0"/>
        <v>-1.9458977174730552E-3</v>
      </c>
      <c r="J7">
        <f t="shared" si="5"/>
        <v>0.49922369961707597</v>
      </c>
      <c r="K7">
        <f t="shared" si="6"/>
        <v>0</v>
      </c>
      <c r="L7">
        <f t="shared" si="7"/>
        <v>17.401906906839528</v>
      </c>
      <c r="S7">
        <f t="shared" si="8"/>
        <v>-1.75</v>
      </c>
      <c r="T7">
        <f t="shared" si="1"/>
        <v>8.6277318826511532E-2</v>
      </c>
      <c r="U7">
        <f t="shared" si="2"/>
        <v>4.00591568638171E-2</v>
      </c>
    </row>
    <row r="8" spans="1:21" x14ac:dyDescent="0.25">
      <c r="F8">
        <f t="shared" si="9"/>
        <v>75</v>
      </c>
      <c r="G8">
        <f t="shared" si="3"/>
        <v>0.50069396285999335</v>
      </c>
      <c r="H8">
        <f t="shared" si="4"/>
        <v>0.69170673913307934</v>
      </c>
      <c r="I8">
        <f t="shared" si="0"/>
        <v>2.6352313834736463E-2</v>
      </c>
      <c r="J8">
        <f t="shared" si="5"/>
        <v>0.5105118355133762</v>
      </c>
      <c r="K8">
        <f t="shared" si="6"/>
        <v>0</v>
      </c>
      <c r="L8">
        <f t="shared" si="7"/>
        <v>18.088621916981126</v>
      </c>
      <c r="N8" t="s">
        <v>17</v>
      </c>
      <c r="O8">
        <f>$C$1*EXP(($D$5-0.5*$D$4^2)*$H$1)</f>
        <v>134.73551886057894</v>
      </c>
      <c r="P8">
        <f>(O8-C2)/O9</f>
        <v>1.0074682496606702</v>
      </c>
      <c r="S8">
        <v>-1.7090000000000001</v>
      </c>
      <c r="T8">
        <f t="shared" si="1"/>
        <v>9.2617327462974963E-2</v>
      </c>
      <c r="U8">
        <f t="shared" si="2"/>
        <v>4.3725474739637137E-2</v>
      </c>
    </row>
    <row r="9" spans="1:21" x14ac:dyDescent="0.25">
      <c r="F9">
        <f t="shared" si="9"/>
        <v>76</v>
      </c>
      <c r="G9">
        <f t="shared" si="3"/>
        <v>0.52861735263029686</v>
      </c>
      <c r="H9">
        <f t="shared" si="4"/>
        <v>0.70146453987865076</v>
      </c>
      <c r="I9">
        <f t="shared" si="0"/>
        <v>5.4275703605039971E-2</v>
      </c>
      <c r="J9">
        <f t="shared" si="5"/>
        <v>0.52164224663602554</v>
      </c>
      <c r="K9">
        <f t="shared" si="6"/>
        <v>1</v>
      </c>
      <c r="L9">
        <f t="shared" si="7"/>
        <v>18.7852300122603</v>
      </c>
      <c r="N9" t="s">
        <v>18</v>
      </c>
      <c r="O9">
        <f>$D$4*SQRT($H$1)*$C$1</f>
        <v>59.292706128157107</v>
      </c>
      <c r="S9">
        <f>S7+0.25</f>
        <v>-1.5</v>
      </c>
      <c r="T9">
        <f t="shared" si="1"/>
        <v>0.12951759566589174</v>
      </c>
      <c r="U9">
        <f t="shared" si="2"/>
        <v>6.6807201268858057E-2</v>
      </c>
    </row>
    <row r="10" spans="1:21" x14ac:dyDescent="0.25">
      <c r="F10">
        <f t="shared" si="9"/>
        <v>77</v>
      </c>
      <c r="G10">
        <f t="shared" si="3"/>
        <v>0.5561757203051888</v>
      </c>
      <c r="H10">
        <f t="shared" si="4"/>
        <v>0.71095463225974442</v>
      </c>
      <c r="I10">
        <f t="shared" si="0"/>
        <v>8.1834071279931919E-2</v>
      </c>
      <c r="J10">
        <f t="shared" si="5"/>
        <v>0.53261066901812137</v>
      </c>
      <c r="K10">
        <f t="shared" si="6"/>
        <v>2</v>
      </c>
      <c r="L10">
        <f t="shared" si="7"/>
        <v>19.491461757100232</v>
      </c>
      <c r="N10" t="s">
        <v>14</v>
      </c>
      <c r="O10">
        <f>($O$8-$C$2)/($D$4*SQRT($H$1)*$C$1)</f>
        <v>1.0074682496606702</v>
      </c>
      <c r="S10">
        <f t="shared" ref="S10:S27" si="10">S9+0.25</f>
        <v>-1.25</v>
      </c>
      <c r="T10">
        <f t="shared" si="1"/>
        <v>0.18264908538902191</v>
      </c>
      <c r="U10">
        <f t="shared" si="2"/>
        <v>0.10564977366685525</v>
      </c>
    </row>
    <row r="11" spans="1:21" x14ac:dyDescent="0.25">
      <c r="F11">
        <f t="shared" si="9"/>
        <v>78</v>
      </c>
      <c r="G11">
        <f t="shared" si="3"/>
        <v>0.58337848620698918</v>
      </c>
      <c r="H11">
        <f t="shared" si="4"/>
        <v>0.7201807313532862</v>
      </c>
      <c r="I11">
        <f t="shared" si="0"/>
        <v>0.10903683718173229</v>
      </c>
      <c r="J11">
        <f t="shared" si="5"/>
        <v>0.54341336366978354</v>
      </c>
      <c r="K11">
        <f t="shared" si="6"/>
        <v>3</v>
      </c>
      <c r="L11">
        <f t="shared" si="7"/>
        <v>20.207051275931796</v>
      </c>
      <c r="S11">
        <f t="shared" si="10"/>
        <v>-1</v>
      </c>
      <c r="T11">
        <f t="shared" si="1"/>
        <v>0.24197072451914337</v>
      </c>
      <c r="U11">
        <f t="shared" si="2"/>
        <v>0.15865525393145699</v>
      </c>
    </row>
    <row r="12" spans="1:21" x14ac:dyDescent="0.25">
      <c r="F12">
        <f t="shared" si="9"/>
        <v>79</v>
      </c>
      <c r="G12">
        <f t="shared" si="3"/>
        <v>0.61023471062583912</v>
      </c>
      <c r="H12">
        <f t="shared" si="4"/>
        <v>0.72914683025629601</v>
      </c>
      <c r="I12">
        <f t="shared" si="0"/>
        <v>0.13589306160058223</v>
      </c>
      <c r="J12">
        <f t="shared" si="5"/>
        <v>0.55404708968317051</v>
      </c>
      <c r="K12">
        <f t="shared" si="6"/>
        <v>4</v>
      </c>
      <c r="L12">
        <f t="shared" si="7"/>
        <v>20.931736550391825</v>
      </c>
      <c r="S12">
        <f t="shared" si="10"/>
        <v>-0.75</v>
      </c>
      <c r="T12">
        <f t="shared" si="1"/>
        <v>0.30113743215480443</v>
      </c>
      <c r="U12">
        <f t="shared" si="2"/>
        <v>0.22662735237686821</v>
      </c>
    </row>
    <row r="13" spans="1:21" x14ac:dyDescent="0.25">
      <c r="F13">
        <f t="shared" si="9"/>
        <v>80</v>
      </c>
      <c r="G13">
        <f t="shared" si="3"/>
        <v>0.63675311193575734</v>
      </c>
      <c r="H13">
        <f t="shared" si="4"/>
        <v>0.7378571640117273</v>
      </c>
      <c r="I13">
        <f t="shared" si="0"/>
        <v>0.16241146291050046</v>
      </c>
      <c r="J13">
        <f t="shared" si="5"/>
        <v>0.56450907770787351</v>
      </c>
      <c r="K13">
        <f t="shared" si="6"/>
        <v>5</v>
      </c>
      <c r="L13">
        <f t="shared" si="7"/>
        <v>21.665259679081807</v>
      </c>
      <c r="N13">
        <f>LN(C1)</f>
        <v>4.8283137373023015</v>
      </c>
      <c r="S13">
        <f t="shared" si="10"/>
        <v>-0.5</v>
      </c>
      <c r="T13">
        <f t="shared" si="1"/>
        <v>0.35206532676429952</v>
      </c>
      <c r="U13">
        <f t="shared" si="2"/>
        <v>0.30853753872598688</v>
      </c>
    </row>
    <row r="14" spans="1:21" x14ac:dyDescent="0.25">
      <c r="F14">
        <f t="shared" si="9"/>
        <v>81</v>
      </c>
      <c r="G14">
        <f t="shared" si="3"/>
        <v>0.66294208358537909</v>
      </c>
      <c r="H14">
        <f t="shared" si="4"/>
        <v>0.74631617616616763</v>
      </c>
      <c r="I14">
        <f t="shared" si="0"/>
        <v>0.18860043456012221</v>
      </c>
      <c r="J14">
        <f t="shared" si="5"/>
        <v>0.57479700390199406</v>
      </c>
      <c r="K14">
        <f t="shared" si="6"/>
        <v>6</v>
      </c>
      <c r="L14">
        <f t="shared" si="7"/>
        <v>22.407367102578426</v>
      </c>
      <c r="N14">
        <f>LN(C2)</f>
        <v>4.3174881135363101</v>
      </c>
      <c r="S14">
        <f t="shared" si="10"/>
        <v>-0.25</v>
      </c>
      <c r="T14">
        <f t="shared" si="1"/>
        <v>0.38666811680284924</v>
      </c>
      <c r="U14">
        <f t="shared" si="2"/>
        <v>0.4012936743170763</v>
      </c>
    </row>
    <row r="15" spans="1:21" x14ac:dyDescent="0.25">
      <c r="F15">
        <f t="shared" si="9"/>
        <v>82</v>
      </c>
      <c r="G15">
        <f t="shared" si="3"/>
        <v>0.68880971004624014</v>
      </c>
      <c r="H15">
        <f t="shared" si="4"/>
        <v>0.75452848783766213</v>
      </c>
      <c r="I15">
        <f t="shared" si="0"/>
        <v>0.21446806102098326</v>
      </c>
      <c r="J15">
        <f t="shared" si="5"/>
        <v>0.58490896444757801</v>
      </c>
      <c r="K15">
        <f t="shared" si="6"/>
        <v>7</v>
      </c>
      <c r="L15">
        <f t="shared" si="7"/>
        <v>23.157809796266982</v>
      </c>
      <c r="S15">
        <f t="shared" si="10"/>
        <v>0</v>
      </c>
      <c r="T15">
        <f t="shared" si="1"/>
        <v>0.3989422804014327</v>
      </c>
      <c r="U15">
        <f t="shared" si="2"/>
        <v>0.5</v>
      </c>
    </row>
    <row r="16" spans="1:21" x14ac:dyDescent="0.25">
      <c r="F16">
        <f t="shared" si="9"/>
        <v>83</v>
      </c>
      <c r="G16">
        <f t="shared" si="3"/>
        <v>0.7143637817944275</v>
      </c>
      <c r="H16">
        <f t="shared" si="4"/>
        <v>0.76249886917021226</v>
      </c>
      <c r="I16">
        <f t="shared" si="0"/>
        <v>0.24002213276917062</v>
      </c>
      <c r="J16">
        <f t="shared" si="5"/>
        <v>0.59484345070407918</v>
      </c>
      <c r="K16">
        <f t="shared" si="6"/>
        <v>8</v>
      </c>
      <c r="L16">
        <f t="shared" si="7"/>
        <v>23.916343433446443</v>
      </c>
      <c r="S16">
        <f t="shared" si="10"/>
        <v>0.25</v>
      </c>
      <c r="T16">
        <f t="shared" si="1"/>
        <v>0.38666811680284924</v>
      </c>
      <c r="U16">
        <f t="shared" si="2"/>
        <v>0.5987063256829237</v>
      </c>
    </row>
    <row r="17" spans="1:21" x14ac:dyDescent="0.25">
      <c r="F17">
        <f t="shared" si="9"/>
        <v>84</v>
      </c>
      <c r="G17">
        <f t="shared" si="3"/>
        <v>0.73961180939505267</v>
      </c>
      <c r="H17">
        <f t="shared" si="4"/>
        <v>0.77023221305117318</v>
      </c>
      <c r="I17">
        <f t="shared" si="0"/>
        <v>0.26527016036979578</v>
      </c>
      <c r="J17">
        <f t="shared" si="5"/>
        <v>0.60459932506005876</v>
      </c>
      <c r="K17">
        <f t="shared" si="6"/>
        <v>9</v>
      </c>
      <c r="L17">
        <f t="shared" si="7"/>
        <v>24.68272852103064</v>
      </c>
      <c r="S17">
        <f t="shared" si="10"/>
        <v>0.5</v>
      </c>
      <c r="T17">
        <f t="shared" si="1"/>
        <v>0.35206532676429952</v>
      </c>
      <c r="U17">
        <f t="shared" si="2"/>
        <v>0.69146246127401312</v>
      </c>
    </row>
    <row r="18" spans="1:21" x14ac:dyDescent="0.25">
      <c r="A18" t="s">
        <v>19</v>
      </c>
      <c r="F18">
        <f t="shared" si="9"/>
        <v>85</v>
      </c>
      <c r="G18">
        <f t="shared" si="3"/>
        <v>0.7645610367532697</v>
      </c>
      <c r="H18">
        <f t="shared" si="4"/>
        <v>0.77773351096859655</v>
      </c>
      <c r="I18">
        <f t="shared" si="0"/>
        <v>0.29021938772801281</v>
      </c>
      <c r="J18">
        <f t="shared" si="5"/>
        <v>0.61417579753128448</v>
      </c>
      <c r="K18">
        <f t="shared" si="6"/>
        <v>10</v>
      </c>
      <c r="L18">
        <f t="shared" si="7"/>
        <v>25.456730510047045</v>
      </c>
      <c r="S18">
        <f t="shared" si="10"/>
        <v>0.75</v>
      </c>
      <c r="T18">
        <f t="shared" si="1"/>
        <v>0.30113743215480443</v>
      </c>
      <c r="U18">
        <f t="shared" si="2"/>
        <v>0.77337264762313174</v>
      </c>
    </row>
    <row r="19" spans="1:21" x14ac:dyDescent="0.25">
      <c r="F19">
        <f t="shared" si="9"/>
        <v>86</v>
      </c>
      <c r="G19">
        <f t="shared" si="3"/>
        <v>0.78921845359032383</v>
      </c>
      <c r="H19">
        <f t="shared" si="4"/>
        <v>0.78500783088731196</v>
      </c>
      <c r="I19">
        <f t="shared" si="0"/>
        <v>0.31487680456506695</v>
      </c>
      <c r="J19">
        <f t="shared" si="5"/>
        <v>0.6235724031426495</v>
      </c>
      <c r="K19">
        <f t="shared" si="6"/>
        <v>11</v>
      </c>
      <c r="L19">
        <f t="shared" si="7"/>
        <v>26.23811988301226</v>
      </c>
      <c r="S19">
        <f t="shared" si="10"/>
        <v>1</v>
      </c>
      <c r="T19">
        <f t="shared" si="1"/>
        <v>0.24197072451914337</v>
      </c>
      <c r="U19">
        <f t="shared" si="2"/>
        <v>0.84134474606854304</v>
      </c>
    </row>
    <row r="20" spans="1:21" x14ac:dyDescent="0.25">
      <c r="F20">
        <f t="shared" si="9"/>
        <v>87</v>
      </c>
      <c r="G20">
        <f t="shared" si="3"/>
        <v>0.81359080719838794</v>
      </c>
      <c r="H20">
        <f t="shared" si="4"/>
        <v>0.79206029702506475</v>
      </c>
      <c r="I20">
        <f t="shared" si="0"/>
        <v>0.33924915817313106</v>
      </c>
      <c r="J20">
        <f t="shared" si="5"/>
        <v>0.63278898012181051</v>
      </c>
      <c r="K20">
        <f t="shared" si="6"/>
        <v>12</v>
      </c>
      <c r="L20">
        <f t="shared" si="7"/>
        <v>27.026672220143418</v>
      </c>
      <c r="S20">
        <f t="shared" si="10"/>
        <v>1.25</v>
      </c>
      <c r="T20">
        <f t="shared" si="1"/>
        <v>0.18264908538902191</v>
      </c>
      <c r="U20">
        <f t="shared" si="2"/>
        <v>0.89435022633314476</v>
      </c>
    </row>
    <row r="21" spans="1:21" x14ac:dyDescent="0.25">
      <c r="F21">
        <f t="shared" si="9"/>
        <v>88</v>
      </c>
      <c r="G21">
        <f t="shared" si="3"/>
        <v>0.83768461352365597</v>
      </c>
      <c r="H21">
        <f t="shared" si="4"/>
        <v>0.798896071413155</v>
      </c>
      <c r="I21">
        <f t="shared" si="0"/>
        <v>0.36334296449839909</v>
      </c>
      <c r="J21">
        <f t="shared" si="5"/>
        <v>0.64182564892402871</v>
      </c>
      <c r="K21">
        <f t="shared" si="6"/>
        <v>13</v>
      </c>
      <c r="L21">
        <f t="shared" si="7"/>
        <v>27.822168246247386</v>
      </c>
      <c r="S21">
        <f t="shared" si="10"/>
        <v>1.5</v>
      </c>
      <c r="T21">
        <f t="shared" si="1"/>
        <v>0.12951759566589174</v>
      </c>
      <c r="U21">
        <f t="shared" si="2"/>
        <v>0.93319279873114191</v>
      </c>
    </row>
    <row r="22" spans="1:21" x14ac:dyDescent="0.25">
      <c r="F22">
        <f t="shared" si="9"/>
        <v>89</v>
      </c>
      <c r="G22">
        <f t="shared" si="3"/>
        <v>0.86150616762322396</v>
      </c>
      <c r="H22">
        <f t="shared" si="4"/>
        <v>0.8055203371296219</v>
      </c>
      <c r="I22">
        <f t="shared" si="0"/>
        <v>0.38716451859796708</v>
      </c>
      <c r="J22">
        <f t="shared" si="5"/>
        <v>0.65068279210029023</v>
      </c>
      <c r="K22">
        <f t="shared" si="6"/>
        <v>14</v>
      </c>
      <c r="L22">
        <f t="shared" si="7"/>
        <v>28.62439386001617</v>
      </c>
      <c r="S22">
        <f t="shared" si="10"/>
        <v>1.75</v>
      </c>
      <c r="T22">
        <f t="shared" si="1"/>
        <v>8.6277318826511532E-2</v>
      </c>
      <c r="U22">
        <f t="shared" si="2"/>
        <v>0.95994084313618289</v>
      </c>
    </row>
    <row r="23" spans="1:21" x14ac:dyDescent="0.25">
      <c r="F23">
        <f t="shared" si="9"/>
        <v>90</v>
      </c>
      <c r="G23">
        <f t="shared" si="3"/>
        <v>0.88506155353775551</v>
      </c>
      <c r="H23">
        <f t="shared" si="4"/>
        <v>0.81193828309699445</v>
      </c>
      <c r="I23">
        <f t="shared" si="0"/>
        <v>0.41071990451249862</v>
      </c>
      <c r="J23">
        <f t="shared" si="5"/>
        <v>0.6593610350143162</v>
      </c>
      <c r="K23">
        <f t="shared" si="6"/>
        <v>15</v>
      </c>
      <c r="L23">
        <f t="shared" si="7"/>
        <v>29.433140147346478</v>
      </c>
      <c r="S23">
        <f t="shared" si="10"/>
        <v>2</v>
      </c>
      <c r="T23">
        <f t="shared" si="1"/>
        <v>5.3990966513188063E-2</v>
      </c>
      <c r="U23">
        <f t="shared" si="2"/>
        <v>0.97724986805182079</v>
      </c>
    </row>
    <row r="24" spans="1:21" x14ac:dyDescent="0.25">
      <c r="F24">
        <f t="shared" si="9"/>
        <v>91</v>
      </c>
      <c r="G24">
        <f t="shared" si="3"/>
        <v>0.90835665361866069</v>
      </c>
      <c r="H24">
        <f t="shared" si="4"/>
        <v>0.81815509034085221</v>
      </c>
      <c r="I24">
        <f t="shared" si="0"/>
        <v>0.43401500459340381</v>
      </c>
      <c r="J24">
        <f t="shared" si="5"/>
        <v>0.66786122740843257</v>
      </c>
      <c r="K24">
        <f t="shared" si="6"/>
        <v>16</v>
      </c>
      <c r="L24">
        <f t="shared" si="7"/>
        <v>30.248203380195967</v>
      </c>
      <c r="S24">
        <f t="shared" si="10"/>
        <v>2.25</v>
      </c>
      <c r="T24">
        <f t="shared" si="1"/>
        <v>3.1739651835667418E-2</v>
      </c>
      <c r="U24">
        <f t="shared" si="2"/>
        <v>0.98777552734495533</v>
      </c>
    </row>
    <row r="25" spans="1:21" x14ac:dyDescent="0.25">
      <c r="F25">
        <f t="shared" si="9"/>
        <v>92</v>
      </c>
      <c r="G25">
        <f t="shared" si="3"/>
        <v>0.93139715734556039</v>
      </c>
      <c r="H25">
        <f t="shared" si="4"/>
        <v>0.82417591960986303</v>
      </c>
      <c r="I25">
        <f t="shared" si="0"/>
        <v>0.45705550832030351</v>
      </c>
      <c r="J25">
        <f t="shared" si="5"/>
        <v>0.67618442581340532</v>
      </c>
      <c r="K25">
        <f t="shared" si="6"/>
        <v>17</v>
      </c>
      <c r="L25">
        <f t="shared" si="7"/>
        <v>31.069385002386902</v>
      </c>
      <c r="S25">
        <f t="shared" si="10"/>
        <v>2.5</v>
      </c>
      <c r="T25">
        <f t="shared" si="1"/>
        <v>1.752830049356854E-2</v>
      </c>
      <c r="U25">
        <f t="shared" si="2"/>
        <v>0.99379033467422384</v>
      </c>
    </row>
    <row r="26" spans="1:21" x14ac:dyDescent="0.25">
      <c r="F26">
        <f t="shared" si="9"/>
        <v>93</v>
      </c>
      <c r="G26">
        <f t="shared" si="3"/>
        <v>0.9541885696671043</v>
      </c>
      <c r="H26">
        <f t="shared" si="4"/>
        <v>0.830005900262485</v>
      </c>
      <c r="I26">
        <f t="shared" si="0"/>
        <v>0.47984692064184742</v>
      </c>
      <c r="J26">
        <f t="shared" si="5"/>
        <v>0.68433187679316376</v>
      </c>
      <c r="K26">
        <f t="shared" si="6"/>
        <v>18</v>
      </c>
      <c r="L26">
        <f t="shared" si="7"/>
        <v>31.896491603670853</v>
      </c>
      <c r="S26">
        <f t="shared" si="10"/>
        <v>2.75</v>
      </c>
      <c r="T26">
        <f t="shared" si="1"/>
        <v>9.0935625015910529E-3</v>
      </c>
      <c r="U26">
        <f t="shared" si="2"/>
        <v>0.99702023676494544</v>
      </c>
    </row>
    <row r="27" spans="1:21" x14ac:dyDescent="0.25">
      <c r="F27">
        <f t="shared" si="9"/>
        <v>94</v>
      </c>
      <c r="G27">
        <f t="shared" si="3"/>
        <v>0.97673621889572726</v>
      </c>
      <c r="H27">
        <f t="shared" si="4"/>
        <v>0.83565012033010488</v>
      </c>
      <c r="I27">
        <f t="shared" si="0"/>
        <v>0.50239456987047038</v>
      </c>
      <c r="J27">
        <f t="shared" si="5"/>
        <v>0.6923050010117815</v>
      </c>
      <c r="K27">
        <f t="shared" si="6"/>
        <v>19</v>
      </c>
      <c r="L27">
        <f t="shared" si="7"/>
        <v>32.729334883275683</v>
      </c>
      <c r="S27">
        <f t="shared" si="10"/>
        <v>3</v>
      </c>
      <c r="T27">
        <f t="shared" si="1"/>
        <v>4.4318484119380075E-3</v>
      </c>
      <c r="U27">
        <f t="shared" si="2"/>
        <v>0.9986501019683699</v>
      </c>
    </row>
    <row r="28" spans="1:21" x14ac:dyDescent="0.25">
      <c r="F28">
        <f t="shared" si="9"/>
        <v>95</v>
      </c>
      <c r="G28">
        <f t="shared" si="3"/>
        <v>0.99904526418467121</v>
      </c>
      <c r="H28">
        <f t="shared" si="4"/>
        <v>0.84111361767096504</v>
      </c>
      <c r="I28">
        <f t="shared" si="0"/>
        <v>0.52470361515941433</v>
      </c>
      <c r="J28">
        <f t="shared" si="5"/>
        <v>0.70010537810708184</v>
      </c>
      <c r="K28">
        <f t="shared" si="6"/>
        <v>20</v>
      </c>
      <c r="L28">
        <f t="shared" si="7"/>
        <v>33.567731604067923</v>
      </c>
    </row>
    <row r="29" spans="1:21" x14ac:dyDescent="0.25">
      <c r="F29">
        <f t="shared" si="9"/>
        <v>96</v>
      </c>
      <c r="G29">
        <f t="shared" si="3"/>
        <v>1.0211207026135196</v>
      </c>
      <c r="H29">
        <f t="shared" si="4"/>
        <v>0.84640137213378008</v>
      </c>
      <c r="I29">
        <f t="shared" si="0"/>
        <v>0.54677905358826273</v>
      </c>
      <c r="J29">
        <f t="shared" si="5"/>
        <v>0.70773473235273876</v>
      </c>
      <c r="K29">
        <f t="shared" si="6"/>
        <v>21</v>
      </c>
      <c r="L29">
        <f t="shared" si="7"/>
        <v>34.411503538380671</v>
      </c>
    </row>
    <row r="30" spans="1:21" x14ac:dyDescent="0.25">
      <c r="F30">
        <f t="shared" si="9"/>
        <v>97</v>
      </c>
      <c r="G30">
        <f t="shared" si="3"/>
        <v>1.0429673759065803</v>
      </c>
      <c r="H30">
        <f t="shared" si="4"/>
        <v>0.85151829865441542</v>
      </c>
      <c r="I30">
        <f t="shared" si="0"/>
        <v>0.5686257268813234</v>
      </c>
      <c r="J30">
        <f t="shared" si="5"/>
        <v>0.71519491908869082</v>
      </c>
      <c r="K30">
        <f t="shared" si="6"/>
        <v>22</v>
      </c>
      <c r="L30">
        <f t="shared" si="7"/>
        <v>35.260477406477548</v>
      </c>
    </row>
    <row r="31" spans="1:21" x14ac:dyDescent="0.25">
      <c r="F31">
        <f t="shared" si="9"/>
        <v>98</v>
      </c>
      <c r="G31">
        <f t="shared" si="3"/>
        <v>1.064589976806724</v>
      </c>
      <c r="H31">
        <f t="shared" si="4"/>
        <v>0.85646924121338874</v>
      </c>
      <c r="I31">
        <f t="shared" si="0"/>
        <v>0.59024832778146707</v>
      </c>
      <c r="J31">
        <f t="shared" si="5"/>
        <v>0.72248791189803585</v>
      </c>
      <c r="K31">
        <f t="shared" si="6"/>
        <v>23</v>
      </c>
      <c r="L31">
        <f t="shared" si="7"/>
        <v>36.114484808549939</v>
      </c>
    </row>
    <row r="32" spans="1:21" x14ac:dyDescent="0.25">
      <c r="F32">
        <f t="shared" si="9"/>
        <v>99</v>
      </c>
      <c r="G32">
        <f t="shared" si="3"/>
        <v>1.0859930551256542</v>
      </c>
      <c r="H32">
        <f t="shared" si="4"/>
        <v>0.86125896758620202</v>
      </c>
      <c r="I32">
        <f t="shared" si="0"/>
        <v>0.61165140610039737</v>
      </c>
      <c r="J32">
        <f t="shared" si="5"/>
        <v>0.7296157905072671</v>
      </c>
      <c r="K32">
        <f t="shared" si="6"/>
        <v>24</v>
      </c>
      <c r="L32">
        <f t="shared" si="7"/>
        <v>36.973362151073438</v>
      </c>
    </row>
    <row r="33" spans="6:12" x14ac:dyDescent="0.25">
      <c r="F33" s="3">
        <f t="shared" si="9"/>
        <v>100</v>
      </c>
      <c r="G33" s="3">
        <f t="shared" si="3"/>
        <v>1.1071810234901318</v>
      </c>
      <c r="H33" s="3">
        <f t="shared" si="4"/>
        <v>0.86589216482264908</v>
      </c>
      <c r="I33" s="3">
        <f t="shared" si="0"/>
        <v>0.63283937446487493</v>
      </c>
      <c r="J33" s="3">
        <f t="shared" si="5"/>
        <v>0.73658072938573182</v>
      </c>
      <c r="K33" s="3">
        <f t="shared" si="6"/>
        <v>25</v>
      </c>
      <c r="L33" s="3">
        <f t="shared" si="7"/>
        <v>37.836950568284124</v>
      </c>
    </row>
    <row r="34" spans="6:12" x14ac:dyDescent="0.25">
      <c r="F34">
        <f t="shared" si="9"/>
        <v>101</v>
      </c>
      <c r="G34">
        <f t="shared" si="3"/>
        <v>1.1281581628023036</v>
      </c>
      <c r="H34">
        <f t="shared" si="4"/>
        <v>0.8703734353952155</v>
      </c>
      <c r="I34">
        <f t="shared" si="0"/>
        <v>0.65381651377704675</v>
      </c>
      <c r="J34">
        <f t="shared" si="5"/>
        <v>0.74338498701946931</v>
      </c>
      <c r="K34">
        <f t="shared" si="6"/>
        <v>26</v>
      </c>
      <c r="L34">
        <f t="shared" si="7"/>
        <v>38.70509583947392</v>
      </c>
    </row>
    <row r="35" spans="6:12" x14ac:dyDescent="0.25">
      <c r="F35">
        <f t="shared" si="9"/>
        <v>102</v>
      </c>
      <c r="G35">
        <f t="shared" si="3"/>
        <v>1.148928627431032</v>
      </c>
      <c r="H35">
        <f t="shared" si="4"/>
        <v>0.87470729396050906</v>
      </c>
      <c r="I35">
        <f t="shared" si="0"/>
        <v>0.67458697840577508</v>
      </c>
      <c r="J35">
        <f t="shared" si="5"/>
        <v>0.7500308958341193</v>
      </c>
      <c r="K35">
        <f t="shared" si="6"/>
        <v>27</v>
      </c>
      <c r="L35">
        <f t="shared" si="7"/>
        <v>39.577648302744947</v>
      </c>
    </row>
    <row r="36" spans="6:12" x14ac:dyDescent="0.25">
      <c r="F36">
        <f t="shared" si="9"/>
        <v>103</v>
      </c>
      <c r="G36">
        <f t="shared" si="3"/>
        <v>1.1694964501499794</v>
      </c>
      <c r="H36">
        <f t="shared" si="4"/>
        <v>0.87889816468132032</v>
      </c>
      <c r="I36">
        <f t="shared" si="0"/>
        <v>0.6951548011247225</v>
      </c>
      <c r="J36">
        <f t="shared" si="5"/>
        <v>0.75652085274132519</v>
      </c>
      <c r="K36">
        <f t="shared" si="6"/>
        <v>28</v>
      </c>
      <c r="L36">
        <f t="shared" si="7"/>
        <v>40.45446276581027</v>
      </c>
    </row>
    <row r="37" spans="6:12" x14ac:dyDescent="0.25">
      <c r="F37">
        <f t="shared" si="9"/>
        <v>104</v>
      </c>
      <c r="G37">
        <f t="shared" si="3"/>
        <v>1.1898655468371278</v>
      </c>
      <c r="H37">
        <f t="shared" si="4"/>
        <v>0.88295037906040241</v>
      </c>
      <c r="I37">
        <f t="shared" si="0"/>
        <v>0.71552389781187087</v>
      </c>
      <c r="J37">
        <f t="shared" si="5"/>
        <v>0.76285731028297865</v>
      </c>
      <c r="K37">
        <f t="shared" si="6"/>
        <v>29</v>
      </c>
      <c r="L37">
        <f t="shared" si="7"/>
        <v>41.33539841437603</v>
      </c>
    </row>
    <row r="38" spans="6:12" x14ac:dyDescent="0.25">
      <c r="F38">
        <f t="shared" si="9"/>
        <v>105</v>
      </c>
      <c r="G38">
        <f t="shared" si="3"/>
        <v>1.2100397209494269</v>
      </c>
      <c r="H38">
        <f t="shared" si="4"/>
        <v>0.88686817424038766</v>
      </c>
      <c r="I38">
        <f t="shared" si="0"/>
        <v>0.73569807192417003</v>
      </c>
      <c r="J38">
        <f t="shared" si="5"/>
        <v>0.76904276834772434</v>
      </c>
      <c r="K38">
        <f t="shared" si="6"/>
        <v>30</v>
      </c>
      <c r="L38">
        <f t="shared" si="7"/>
        <v>42.220318718594505</v>
      </c>
    </row>
    <row r="39" spans="6:12" x14ac:dyDescent="0.25">
      <c r="F39">
        <f t="shared" si="9"/>
        <v>106</v>
      </c>
      <c r="G39">
        <f t="shared" si="3"/>
        <v>1.2300226677853667</v>
      </c>
      <c r="H39">
        <f t="shared" si="4"/>
        <v>0.89065569172741321</v>
      </c>
      <c r="I39">
        <f t="shared" si="0"/>
        <v>0.75568101876010985</v>
      </c>
      <c r="J39">
        <f t="shared" si="5"/>
        <v>0.77507976643436105</v>
      </c>
      <c r="K39">
        <f t="shared" si="6"/>
        <v>31</v>
      </c>
      <c r="L39">
        <f t="shared" si="7"/>
        <v>43.109091338032144</v>
      </c>
    </row>
    <row r="40" spans="6:12" x14ac:dyDescent="0.25">
      <c r="F40">
        <f t="shared" si="9"/>
        <v>107</v>
      </c>
      <c r="G40">
        <f t="shared" si="3"/>
        <v>1.2498179785474186</v>
      </c>
      <c r="H40">
        <f t="shared" si="4"/>
        <v>0.8943169764990222</v>
      </c>
      <c r="I40">
        <f t="shared" si="0"/>
        <v>0.77547632952216172</v>
      </c>
      <c r="J40">
        <f t="shared" si="5"/>
        <v>0.78097087643710028</v>
      </c>
      <c r="K40">
        <f t="shared" si="6"/>
        <v>32</v>
      </c>
      <c r="L40">
        <f t="shared" si="7"/>
        <v>44.001588025556543</v>
      </c>
    </row>
    <row r="41" spans="6:12" x14ac:dyDescent="0.25">
      <c r="F41">
        <f t="shared" si="9"/>
        <v>108</v>
      </c>
      <c r="G41">
        <f t="shared" si="3"/>
        <v>1.2694291442155174</v>
      </c>
      <c r="H41">
        <f t="shared" si="4"/>
        <v>0.89785597645973581</v>
      </c>
      <c r="I41">
        <f t="shared" si="0"/>
        <v>0.79508749519026056</v>
      </c>
      <c r="J41">
        <f t="shared" si="5"/>
        <v>0.78671869592806742</v>
      </c>
      <c r="K41">
        <f t="shared" si="6"/>
        <v>33</v>
      </c>
      <c r="L41">
        <f t="shared" si="7"/>
        <v>44.897684530508101</v>
      </c>
    </row>
    <row r="42" spans="6:12" x14ac:dyDescent="0.25">
      <c r="F42">
        <f t="shared" ref="F42:F72" si="11">F41+1</f>
        <v>109</v>
      </c>
      <c r="G42">
        <f t="shared" ref="G42:G43" si="12">(LN(F42/$C$2)+($D$3+0.5*$D$4^2)*$H$1)/($D$4*SQRT($H$1))</f>
        <v>1.2888595592420362</v>
      </c>
      <c r="H42">
        <f t="shared" ref="H42:H43" si="13">NORMSDIST(G42)</f>
        <v>0.9012765422103608</v>
      </c>
      <c r="I42">
        <f t="shared" ref="I42:I43" si="14">G42-$D$4*SQRT($H$1)</f>
        <v>0.81451791021677933</v>
      </c>
      <c r="J42">
        <f t="shared" ref="J42:J43" si="15">NORMSDIST(I42)</f>
        <v>0.79232584191293731</v>
      </c>
      <c r="K42">
        <f t="shared" ref="K42:K43" si="16">IF(F42-$C$2&gt;0,F42-$C$2,0)</f>
        <v>34</v>
      </c>
      <c r="L42">
        <f t="shared" ref="L42:L43" si="17">F42*H42-$C$2*J42/EXP($D$3*$H$1)</f>
        <v>45.797260501486903</v>
      </c>
    </row>
    <row r="43" spans="6:12" x14ac:dyDescent="0.25">
      <c r="F43">
        <f t="shared" si="11"/>
        <v>110</v>
      </c>
      <c r="G43">
        <f t="shared" si="12"/>
        <v>1.3081125250780306</v>
      </c>
      <c r="H43">
        <f t="shared" si="13"/>
        <v>0.90458242709961301</v>
      </c>
      <c r="I43">
        <f t="shared" si="14"/>
        <v>0.83377087605277367</v>
      </c>
      <c r="J43">
        <f t="shared" si="15"/>
        <v>0.79779494503616766</v>
      </c>
      <c r="K43">
        <f t="shared" si="16"/>
        <v>35</v>
      </c>
      <c r="L43">
        <f t="shared" si="17"/>
        <v>46.700199389052521</v>
      </c>
    </row>
    <row r="44" spans="6:12" x14ac:dyDescent="0.25">
      <c r="F44">
        <f t="shared" si="11"/>
        <v>111</v>
      </c>
      <c r="G44">
        <f t="shared" ref="G44:G46" si="18">(LN(F44/$C$2)+($D$3+0.5*$D$4^2)*$H$1)/($D$4*SQRT($H$1))</f>
        <v>1.3271912535399204</v>
      </c>
      <c r="H44">
        <f t="shared" ref="H44:H46" si="19">NORMSDIST(G44)</f>
        <v>0.90777728752900444</v>
      </c>
      <c r="I44">
        <f t="shared" ref="I44:I46" si="20">G44-$D$4*SQRT($H$1)</f>
        <v>0.85284960451466352</v>
      </c>
      <c r="J44">
        <f t="shared" ref="J44:J46" si="21">NORMSDIST(I44)</f>
        <v>0.80312864421292074</v>
      </c>
      <c r="K44">
        <f t="shared" ref="K44:K46" si="22">IF(F44-$C$2&gt;0,F44-$C$2,0)</f>
        <v>36</v>
      </c>
      <c r="L44">
        <f t="shared" ref="L44:L46" si="23">F44*H44-$C$2*J44/EXP($D$3*$H$1)</f>
        <v>47.606388348604391</v>
      </c>
    </row>
    <row r="45" spans="6:12" x14ac:dyDescent="0.25">
      <c r="F45">
        <f t="shared" si="11"/>
        <v>112</v>
      </c>
      <c r="G45">
        <f t="shared" si="18"/>
        <v>1.346098870025191</v>
      </c>
      <c r="H45">
        <f t="shared" si="19"/>
        <v>0.91086468348416083</v>
      </c>
      <c r="I45">
        <f t="shared" si="20"/>
        <v>0.87175722099993413</v>
      </c>
      <c r="J45">
        <f t="shared" si="21"/>
        <v>0.80832958166543367</v>
      </c>
      <c r="K45">
        <f t="shared" si="22"/>
        <v>37</v>
      </c>
      <c r="L45">
        <f t="shared" si="23"/>
        <v>48.515718143682491</v>
      </c>
    </row>
    <row r="46" spans="6:12" x14ac:dyDescent="0.25">
      <c r="F46">
        <f t="shared" si="11"/>
        <v>113</v>
      </c>
      <c r="G46">
        <f t="shared" si="18"/>
        <v>1.3648384165851701</v>
      </c>
      <c r="H46">
        <f t="shared" si="19"/>
        <v>0.91384807926782052</v>
      </c>
      <c r="I46">
        <f t="shared" si="20"/>
        <v>0.89049676755991325</v>
      </c>
      <c r="J46">
        <f t="shared" si="21"/>
        <v>0.81340039834229905</v>
      </c>
      <c r="K46">
        <f t="shared" si="22"/>
        <v>38</v>
      </c>
      <c r="L46">
        <f t="shared" si="23"/>
        <v>49.428083049902099</v>
      </c>
    </row>
    <row r="47" spans="6:12" x14ac:dyDescent="0.25">
      <c r="F47">
        <f t="shared" si="11"/>
        <v>114</v>
      </c>
      <c r="G47">
        <f t="shared" ref="G47:G72" si="24">(LN(F47/$C$2)+($D$3+0.5*$D$4^2)*$H$1)/($D$4*SQRT($H$1))</f>
        <v>1.3834128548624334</v>
      </c>
      <c r="H47">
        <f t="shared" ref="H47:H72" si="25">NORMSDIST(G47)</f>
        <v>0.9167308444117177</v>
      </c>
      <c r="I47">
        <f t="shared" ref="I47:I72" si="26">G47-$D$4*SQRT($H$1)</f>
        <v>0.90907120583717649</v>
      </c>
      <c r="J47">
        <f t="shared" ref="J47:J72" si="27">NORMSDIST(I47)</f>
        <v>0.81834372969984615</v>
      </c>
      <c r="K47">
        <f t="shared" ref="K47:K72" si="28">IF(F47-$C$2&gt;0,F47-$C$2,0)</f>
        <v>39</v>
      </c>
      <c r="L47">
        <f t="shared" ref="L47:L72" si="29">F47*H47-$C$2*J47/EXP($D$3*$H$1)</f>
        <v>50.343380759712844</v>
      </c>
    </row>
    <row r="48" spans="6:12" x14ac:dyDescent="0.25">
      <c r="F48">
        <f t="shared" si="11"/>
        <v>115</v>
      </c>
      <c r="G48">
        <f t="shared" si="24"/>
        <v>1.4018250688999352</v>
      </c>
      <c r="H48">
        <f t="shared" si="25"/>
        <v>0.91951625474637377</v>
      </c>
      <c r="I48">
        <f t="shared" si="26"/>
        <v>0.92748341987467831</v>
      </c>
      <c r="J48">
        <f t="shared" si="27"/>
        <v>0.82316220182555622</v>
      </c>
      <c r="K48">
        <f t="shared" si="28"/>
        <v>40</v>
      </c>
      <c r="L48">
        <f t="shared" si="29"/>
        <v>51.261512288150314</v>
      </c>
    </row>
    <row r="49" spans="6:12" x14ac:dyDescent="0.25">
      <c r="F49">
        <f t="shared" si="11"/>
        <v>116</v>
      </c>
      <c r="G49">
        <f t="shared" si="24"/>
        <v>1.4200778678285269</v>
      </c>
      <c r="H49">
        <f t="shared" si="25"/>
        <v>0.92220749360952714</v>
      </c>
      <c r="I49">
        <f t="shared" si="26"/>
        <v>0.94573621880326997</v>
      </c>
      <c r="J49">
        <f t="shared" si="27"/>
        <v>0.82785842788420083</v>
      </c>
      <c r="K49">
        <f t="shared" si="28"/>
        <v>41</v>
      </c>
      <c r="L49">
        <f t="shared" si="29"/>
        <v>52.182381879728162</v>
      </c>
    </row>
    <row r="50" spans="6:12" x14ac:dyDescent="0.25">
      <c r="F50">
        <f t="shared" si="11"/>
        <v>117</v>
      </c>
      <c r="G50">
        <f t="shared" si="24"/>
        <v>1.438173988439126</v>
      </c>
      <c r="H50">
        <f t="shared" si="25"/>
        <v>0.92480765317551905</v>
      </c>
      <c r="I50">
        <f t="shared" si="26"/>
        <v>0.96383233941386914</v>
      </c>
      <c r="J50">
        <f t="shared" si="27"/>
        <v>0.83243500486814781</v>
      </c>
      <c r="K50">
        <f t="shared" si="28"/>
        <v>42</v>
      </c>
      <c r="L50">
        <f t="shared" si="29"/>
        <v>53.105896916600749</v>
      </c>
    </row>
    <row r="51" spans="6:12" x14ac:dyDescent="0.25">
      <c r="F51">
        <f t="shared" si="11"/>
        <v>118</v>
      </c>
      <c r="G51">
        <f t="shared" si="24"/>
        <v>1.4561160976454279</v>
      </c>
      <c r="H51">
        <f t="shared" si="25"/>
        <v>0.92731973588943351</v>
      </c>
      <c r="I51">
        <f t="shared" si="26"/>
        <v>0.98177444862017105</v>
      </c>
      <c r="J51">
        <f t="shared" si="27"/>
        <v>0.83689451063404241</v>
      </c>
      <c r="K51">
        <f t="shared" si="28"/>
        <v>43</v>
      </c>
      <c r="L51">
        <f t="shared" si="29"/>
        <v>54.031967828108669</v>
      </c>
    </row>
    <row r="52" spans="6:12" x14ac:dyDescent="0.25">
      <c r="F52">
        <f t="shared" si="11"/>
        <v>119</v>
      </c>
      <c r="G52">
        <f t="shared" si="24"/>
        <v>1.4739067948427034</v>
      </c>
      <c r="H52">
        <f t="shared" si="25"/>
        <v>0.9297466559911699</v>
      </c>
      <c r="I52">
        <f t="shared" si="26"/>
        <v>0.99956514581744649</v>
      </c>
      <c r="J52">
        <f t="shared" si="27"/>
        <v>0.84123950120882163</v>
      </c>
      <c r="K52">
        <f t="shared" si="28"/>
        <v>44</v>
      </c>
      <c r="L52">
        <f t="shared" si="29"/>
        <v>54.960508001804584</v>
      </c>
    </row>
    <row r="53" spans="6:12" x14ac:dyDescent="0.25">
      <c r="F53">
        <f t="shared" si="11"/>
        <v>120</v>
      </c>
      <c r="G53">
        <f t="shared" si="24"/>
        <v>1.4915486141678944</v>
      </c>
      <c r="H53">
        <f t="shared" si="25"/>
        <v>0.93209124111590425</v>
      </c>
      <c r="I53">
        <f t="shared" si="26"/>
        <v>1.0172069651426376</v>
      </c>
      <c r="J53">
        <f t="shared" si="27"/>
        <v>0.84547250834876453</v>
      </c>
      <c r="K53">
        <f t="shared" si="28"/>
        <v>45</v>
      </c>
      <c r="L53">
        <f t="shared" si="29"/>
        <v>55.891433696042526</v>
      </c>
    </row>
    <row r="54" spans="6:12" x14ac:dyDescent="0.25">
      <c r="F54">
        <f t="shared" si="11"/>
        <v>121</v>
      </c>
      <c r="G54">
        <f t="shared" si="24"/>
        <v>1.5090440266659293</v>
      </c>
      <c r="H54">
        <f t="shared" si="25"/>
        <v>0.93435623395858791</v>
      </c>
      <c r="I54">
        <f t="shared" si="26"/>
        <v>1.0347023776406723</v>
      </c>
      <c r="J54">
        <f t="shared" si="27"/>
        <v>0.84959603733601807</v>
      </c>
      <c r="K54">
        <f t="shared" si="28"/>
        <v>46</v>
      </c>
      <c r="L54">
        <f t="shared" si="29"/>
        <v>56.824663954200474</v>
      </c>
    </row>
    <row r="55" spans="6:12" x14ac:dyDescent="0.25">
      <c r="F55">
        <f t="shared" si="11"/>
        <v>122</v>
      </c>
      <c r="G55">
        <f t="shared" si="24"/>
        <v>1.526395442366888</v>
      </c>
      <c r="H55">
        <f t="shared" si="25"/>
        <v>0.93654429399123662</v>
      </c>
      <c r="I55">
        <f t="shared" si="26"/>
        <v>1.052053793341631</v>
      </c>
      <c r="J55">
        <f t="shared" si="27"/>
        <v>0.85361256499775828</v>
      </c>
      <c r="K55">
        <f t="shared" si="28"/>
        <v>47</v>
      </c>
      <c r="L55">
        <f t="shared" si="29"/>
        <v>57.76012052059486</v>
      </c>
    </row>
    <row r="56" spans="6:12" x14ac:dyDescent="0.25">
      <c r="F56">
        <f t="shared" si="11"/>
        <v>123</v>
      </c>
      <c r="G56">
        <f t="shared" si="24"/>
        <v>1.5436052122783768</v>
      </c>
      <c r="H56">
        <f t="shared" si="25"/>
        <v>0.93865799922278248</v>
      </c>
      <c r="I56">
        <f t="shared" si="26"/>
        <v>1.06926356325312</v>
      </c>
      <c r="J56">
        <f t="shared" si="27"/>
        <v>0.85752453793384364</v>
      </c>
      <c r="K56">
        <f t="shared" si="28"/>
        <v>48</v>
      </c>
      <c r="L56">
        <f t="shared" si="29"/>
        <v>58.697727758134484</v>
      </c>
    </row>
    <row r="57" spans="6:12" x14ac:dyDescent="0.25">
      <c r="F57">
        <f t="shared" si="11"/>
        <v>124</v>
      </c>
      <c r="G57">
        <f t="shared" si="24"/>
        <v>1.5606756302972429</v>
      </c>
      <c r="H57">
        <f t="shared" si="25"/>
        <v>0.94069984799221373</v>
      </c>
      <c r="I57">
        <f t="shared" si="26"/>
        <v>1.0863339812719861</v>
      </c>
      <c r="J57">
        <f t="shared" si="27"/>
        <v>0.86133437093951626</v>
      </c>
      <c r="K57">
        <f t="shared" si="28"/>
        <v>49</v>
      </c>
      <c r="L57">
        <f t="shared" si="29"/>
        <v>59.637412567751447</v>
      </c>
    </row>
    <row r="58" spans="6:12" x14ac:dyDescent="0.25">
      <c r="F58" s="4">
        <f t="shared" si="11"/>
        <v>125</v>
      </c>
      <c r="G58" s="4">
        <f t="shared" si="24"/>
        <v>1.5776089350445068</v>
      </c>
      <c r="H58" s="4">
        <f t="shared" si="25"/>
        <v>0.94267226078659971</v>
      </c>
      <c r="I58" s="4">
        <f t="shared" si="26"/>
        <v>1.1032672860192498</v>
      </c>
      <c r="J58" s="4">
        <f t="shared" si="27"/>
        <v>0.86504444561036098</v>
      </c>
      <c r="K58" s="4">
        <f t="shared" si="28"/>
        <v>50</v>
      </c>
      <c r="L58" s="4">
        <f t="shared" si="29"/>
        <v>60.579104309638566</v>
      </c>
    </row>
    <row r="59" spans="6:12" x14ac:dyDescent="0.25">
      <c r="F59">
        <f t="shared" si="11"/>
        <v>126</v>
      </c>
      <c r="G59">
        <f t="shared" si="24"/>
        <v>1.5944073116271891</v>
      </c>
      <c r="H59">
        <f t="shared" si="25"/>
        <v>0.94457758207641063</v>
      </c>
      <c r="I59">
        <f t="shared" si="26"/>
        <v>1.1200656626019323</v>
      </c>
      <c r="J59">
        <f t="shared" si="27"/>
        <v>0.86865710911738869</v>
      </c>
      <c r="K59">
        <f t="shared" si="28"/>
        <v>51</v>
      </c>
      <c r="L59">
        <f t="shared" si="29"/>
        <v>61.5227347263139</v>
      </c>
    </row>
    <row r="60" spans="6:12" x14ac:dyDescent="0.25">
      <c r="F60">
        <f t="shared" si="11"/>
        <v>127</v>
      </c>
      <c r="G60">
        <f t="shared" si="24"/>
        <v>1.6110728933304994</v>
      </c>
      <c r="H60">
        <f t="shared" si="25"/>
        <v>0.94641808216128831</v>
      </c>
      <c r="I60">
        <f t="shared" si="26"/>
        <v>1.1367312443052424</v>
      </c>
      <c r="J60">
        <f t="shared" si="27"/>
        <v>0.87217467314073038</v>
      </c>
      <c r="K60">
        <f t="shared" si="28"/>
        <v>52</v>
      </c>
      <c r="L60">
        <f t="shared" si="29"/>
        <v>62.468237867526632</v>
      </c>
    </row>
    <row r="61" spans="6:12" x14ac:dyDescent="0.25">
      <c r="F61">
        <f t="shared" si="11"/>
        <v>128</v>
      </c>
      <c r="G61">
        <f t="shared" si="24"/>
        <v>1.6276077632436583</v>
      </c>
      <c r="H61">
        <f t="shared" si="25"/>
        <v>0.94819595902011167</v>
      </c>
      <c r="I61">
        <f t="shared" si="26"/>
        <v>1.1532661142184013</v>
      </c>
      <c r="J61">
        <f t="shared" si="27"/>
        <v>0.87559941295103649</v>
      </c>
      <c r="K61">
        <f t="shared" si="28"/>
        <v>53</v>
      </c>
      <c r="L61">
        <f t="shared" si="29"/>
        <v>63.415550017010808</v>
      </c>
    </row>
    <row r="62" spans="6:12" x14ac:dyDescent="0.25">
      <c r="F62">
        <f t="shared" si="11"/>
        <v>129</v>
      </c>
      <c r="G62">
        <f t="shared" si="24"/>
        <v>1.6440139558224602</v>
      </c>
      <c r="H62">
        <f t="shared" si="25"/>
        <v>0.94991334015984297</v>
      </c>
      <c r="I62">
        <f t="shared" si="26"/>
        <v>1.1696723067972035</v>
      </c>
      <c r="J62">
        <f t="shared" si="27"/>
        <v>0.8789335666282565</v>
      </c>
      <c r="K62">
        <f t="shared" si="28"/>
        <v>54</v>
      </c>
      <c r="L62">
        <f t="shared" si="29"/>
        <v>64.364609621089684</v>
      </c>
    </row>
    <row r="63" spans="6:12" x14ac:dyDescent="0.25">
      <c r="F63">
        <f t="shared" si="11"/>
        <v>130</v>
      </c>
      <c r="G63">
        <f t="shared" si="24"/>
        <v>1.6602934583915023</v>
      </c>
      <c r="H63">
        <f t="shared" si="25"/>
        <v>0.95157228445821485</v>
      </c>
      <c r="I63">
        <f t="shared" si="26"/>
        <v>1.1859518093662453</v>
      </c>
      <c r="J63">
        <f t="shared" si="27"/>
        <v>0.88217933440803586</v>
      </c>
      <c r="K63">
        <f t="shared" si="28"/>
        <v>55</v>
      </c>
      <c r="L63">
        <f t="shared" si="29"/>
        <v>65.315357219125559</v>
      </c>
    </row>
    <row r="64" spans="6:12" x14ac:dyDescent="0.25">
      <c r="F64">
        <f t="shared" si="11"/>
        <v>131</v>
      </c>
      <c r="G64">
        <f t="shared" si="24"/>
        <v>1.6764482125888533</v>
      </c>
      <c r="H64">
        <f t="shared" si="25"/>
        <v>0.95317478399586664</v>
      </c>
      <c r="I64">
        <f t="shared" si="26"/>
        <v>1.2021065635635964</v>
      </c>
      <c r="J64">
        <f t="shared" si="27"/>
        <v>0.88533887814650269</v>
      </c>
      <c r="K64">
        <f t="shared" si="28"/>
        <v>56</v>
      </c>
      <c r="L64">
        <f t="shared" si="29"/>
        <v>66.267735375807831</v>
      </c>
    </row>
    <row r="65" spans="6:12" x14ac:dyDescent="0.25">
      <c r="F65">
        <f t="shared" si="11"/>
        <v>132</v>
      </c>
      <c r="G65">
        <f t="shared" si="24"/>
        <v>1.6924801157557929</v>
      </c>
      <c r="H65">
        <f t="shared" si="25"/>
        <v>0.95472276587402427</v>
      </c>
      <c r="I65">
        <f t="shared" si="26"/>
        <v>1.2181384667305362</v>
      </c>
      <c r="J65">
        <f t="shared" si="27"/>
        <v>0.88841432089473638</v>
      </c>
      <c r="K65">
        <f t="shared" si="28"/>
        <v>57</v>
      </c>
      <c r="L65">
        <f t="shared" si="29"/>
        <v>67.221688615266075</v>
      </c>
    </row>
    <row r="66" spans="6:12" x14ac:dyDescent="0.25">
      <c r="F66">
        <f t="shared" si="11"/>
        <v>133</v>
      </c>
      <c r="G66">
        <f t="shared" si="24"/>
        <v>1.7083910222741052</v>
      </c>
      <c r="H66">
        <f t="shared" si="25"/>
        <v>0.95621809401427638</v>
      </c>
      <c r="I66">
        <f t="shared" si="26"/>
        <v>1.2340493732488484</v>
      </c>
      <c r="J66">
        <f t="shared" si="27"/>
        <v>0.89140774657470201</v>
      </c>
      <c r="K66">
        <f t="shared" si="28"/>
        <v>58</v>
      </c>
      <c r="L66">
        <f t="shared" si="29"/>
        <v>68.177163356992111</v>
      </c>
    </row>
    <row r="67" spans="6:12" x14ac:dyDescent="0.25">
      <c r="F67">
        <f t="shared" si="11"/>
        <v>134</v>
      </c>
      <c r="G67">
        <f t="shared" si="24"/>
        <v>1.7241827448532847</v>
      </c>
      <c r="H67">
        <f t="shared" si="25"/>
        <v>0.95766257093741025</v>
      </c>
      <c r="I67">
        <f t="shared" si="26"/>
        <v>1.2498410958280277</v>
      </c>
      <c r="J67">
        <f t="shared" si="27"/>
        <v>0.89432119974890878</v>
      </c>
      <c r="K67">
        <f t="shared" si="28"/>
        <v>59</v>
      </c>
      <c r="L67">
        <f t="shared" si="29"/>
        <v>69.134107853551626</v>
      </c>
    </row>
    <row r="68" spans="6:12" x14ac:dyDescent="0.25">
      <c r="F68">
        <f t="shared" si="11"/>
        <v>135</v>
      </c>
      <c r="G68">
        <f t="shared" si="24"/>
        <v>1.7398570557698925</v>
      </c>
      <c r="H68">
        <f t="shared" si="25"/>
        <v>0.9590579395186567</v>
      </c>
      <c r="I68">
        <f t="shared" si="26"/>
        <v>1.2655154067446355</v>
      </c>
      <c r="J68">
        <f t="shared" si="27"/>
        <v>0.89715668547650052</v>
      </c>
      <c r="K68">
        <f t="shared" si="28"/>
        <v>60</v>
      </c>
      <c r="L68">
        <f t="shared" si="29"/>
        <v>70.092472130063129</v>
      </c>
    </row>
    <row r="69" spans="6:12" x14ac:dyDescent="0.25">
      <c r="F69">
        <f t="shared" si="11"/>
        <v>136</v>
      </c>
      <c r="G69">
        <f t="shared" si="24"/>
        <v>1.7554156880611707</v>
      </c>
      <c r="H69">
        <f t="shared" si="25"/>
        <v>0.96040588471703381</v>
      </c>
      <c r="I69">
        <f t="shared" si="26"/>
        <v>1.2810740390359139</v>
      </c>
      <c r="J69">
        <f t="shared" si="27"/>
        <v>0.89991616924891837</v>
      </c>
      <c r="K69">
        <f t="shared" si="28"/>
        <v>61</v>
      </c>
      <c r="L69">
        <f t="shared" si="29"/>
        <v>71.052207925419225</v>
      </c>
    </row>
    <row r="70" spans="6:12" x14ac:dyDescent="0.25">
      <c r="F70">
        <f t="shared" si="11"/>
        <v>137</v>
      </c>
      <c r="G70">
        <f t="shared" si="24"/>
        <v>1.770860336674944</v>
      </c>
      <c r="H70">
        <f t="shared" si="25"/>
        <v>0.96170803527680371</v>
      </c>
      <c r="I70">
        <f t="shared" si="26"/>
        <v>1.2965186876496873</v>
      </c>
      <c r="J70">
        <f t="shared" si="27"/>
        <v>0.90260157699868748</v>
      </c>
      <c r="K70">
        <f t="shared" si="28"/>
        <v>62</v>
      </c>
      <c r="L70">
        <f t="shared" si="29"/>
        <v>72.013268635223653</v>
      </c>
    </row>
    <row r="71" spans="6:12" x14ac:dyDescent="0.25">
      <c r="F71">
        <f t="shared" si="11"/>
        <v>138</v>
      </c>
      <c r="G71">
        <f t="shared" si="24"/>
        <v>1.7861926595776976</v>
      </c>
      <c r="H71">
        <f t="shared" si="25"/>
        <v>0.96296596539934087</v>
      </c>
      <c r="I71">
        <f t="shared" si="26"/>
        <v>1.3118510105524406</v>
      </c>
      <c r="J71">
        <f t="shared" si="27"/>
        <v>0.90521479517526748</v>
      </c>
      <c r="K71">
        <f t="shared" si="28"/>
        <v>63</v>
      </c>
      <c r="L71">
        <f t="shared" si="29"/>
        <v>72.975609256414856</v>
      </c>
    </row>
    <row r="72" spans="6:12" x14ac:dyDescent="0.25">
      <c r="F72">
        <f t="shared" si="11"/>
        <v>139</v>
      </c>
      <c r="G72">
        <f t="shared" si="24"/>
        <v>1.8014142788226533</v>
      </c>
      <c r="H72">
        <f t="shared" si="25"/>
        <v>0.96418119638397637</v>
      </c>
      <c r="I72">
        <f t="shared" si="26"/>
        <v>1.3270726297973963</v>
      </c>
      <c r="J72">
        <f t="shared" si="27"/>
        <v>0.9077576708822811</v>
      </c>
      <c r="K72">
        <f t="shared" si="28"/>
        <v>64</v>
      </c>
      <c r="L72">
        <f t="shared" si="29"/>
        <v>73.939186333546246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3074" r:id="rId4">
          <objectPr defaultSize="0" autoPict="0" r:id="rId5">
            <anchor moveWithCells="1" sizeWithCells="1">
              <from>
                <xdr:col>0</xdr:col>
                <xdr:colOff>0</xdr:colOff>
                <xdr:row>10</xdr:row>
                <xdr:rowOff>0</xdr:rowOff>
              </from>
              <to>
                <xdr:col>3</xdr:col>
                <xdr:colOff>0</xdr:colOff>
                <xdr:row>11</xdr:row>
                <xdr:rowOff>66675</xdr:rowOff>
              </to>
            </anchor>
          </objectPr>
        </oleObject>
      </mc:Choice>
      <mc:Fallback>
        <oleObject progId="Equation.DSMT4" shapeId="3074" r:id="rId4"/>
      </mc:Fallback>
    </mc:AlternateContent>
    <mc:AlternateContent xmlns:mc="http://schemas.openxmlformats.org/markup-compatibility/2006">
      <mc:Choice Requires="x14">
        <oleObject progId="Equation.DSMT4" shapeId="3075" r:id="rId6">
          <objectPr defaultSize="0" autoPict="0" r:id="rId7">
            <anchor moveWithCells="1" sizeWithCells="1">
              <from>
                <xdr:col>0</xdr:col>
                <xdr:colOff>0</xdr:colOff>
                <xdr:row>13</xdr:row>
                <xdr:rowOff>0</xdr:rowOff>
              </from>
              <to>
                <xdr:col>2</xdr:col>
                <xdr:colOff>466725</xdr:colOff>
                <xdr:row>16</xdr:row>
                <xdr:rowOff>104775</xdr:rowOff>
              </to>
            </anchor>
          </objectPr>
        </oleObject>
      </mc:Choice>
      <mc:Fallback>
        <oleObject progId="Equation.DSMT4" shapeId="3075" r:id="rId6"/>
      </mc:Fallback>
    </mc:AlternateContent>
    <mc:AlternateContent xmlns:mc="http://schemas.openxmlformats.org/markup-compatibility/2006">
      <mc:Choice Requires="x14">
        <oleObject progId="Equation.DSMT4" shapeId="3076" r:id="rId8">
          <objectPr defaultSize="0" autoPict="0" r:id="rId9">
            <anchor moveWithCells="1" sizeWithCells="1">
              <from>
                <xdr:col>2</xdr:col>
                <xdr:colOff>533400</xdr:colOff>
                <xdr:row>13</xdr:row>
                <xdr:rowOff>0</xdr:rowOff>
              </from>
              <to>
                <xdr:col>5</xdr:col>
                <xdr:colOff>428625</xdr:colOff>
                <xdr:row>16</xdr:row>
                <xdr:rowOff>104775</xdr:rowOff>
              </to>
            </anchor>
          </objectPr>
        </oleObject>
      </mc:Choice>
      <mc:Fallback>
        <oleObject progId="Equation.DSMT4" shapeId="3076" r:id="rId8"/>
      </mc:Fallback>
    </mc:AlternateContent>
    <mc:AlternateContent xmlns:mc="http://schemas.openxmlformats.org/markup-compatibility/2006">
      <mc:Choice Requires="x14">
        <oleObject progId="Equation.DSMT4" shapeId="3077" r:id="rId10">
          <objectPr defaultSize="0" autoPict="0" r:id="rId11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3</xdr:col>
                <xdr:colOff>161925</xdr:colOff>
                <xdr:row>22</xdr:row>
                <xdr:rowOff>104775</xdr:rowOff>
              </to>
            </anchor>
          </objectPr>
        </oleObject>
      </mc:Choice>
      <mc:Fallback>
        <oleObject progId="Equation.DSMT4" shapeId="3077" r:id="rId10"/>
      </mc:Fallback>
    </mc:AlternateContent>
    <mc:AlternateContent xmlns:mc="http://schemas.openxmlformats.org/markup-compatibility/2006">
      <mc:Choice Requires="x14">
        <oleObject progId="Equation.DSMT4" shapeId="3078" r:id="rId12">
          <objectPr defaultSize="0" autoPict="0" r:id="rId13">
            <anchor moveWithCells="1" sizeWithCells="1">
              <from>
                <xdr:col>0</xdr:col>
                <xdr:colOff>0</xdr:colOff>
                <xdr:row>22</xdr:row>
                <xdr:rowOff>152400</xdr:rowOff>
              </from>
              <to>
                <xdr:col>3</xdr:col>
                <xdr:colOff>238125</xdr:colOff>
                <xdr:row>26</xdr:row>
                <xdr:rowOff>66675</xdr:rowOff>
              </to>
            </anchor>
          </objectPr>
        </oleObject>
      </mc:Choice>
      <mc:Fallback>
        <oleObject progId="Equation.DSMT4" shapeId="3078" r:id="rId12"/>
      </mc:Fallback>
    </mc:AlternateContent>
    <mc:AlternateContent xmlns:mc="http://schemas.openxmlformats.org/markup-compatibility/2006">
      <mc:Choice Requires="x14">
        <oleObject progId="Equation.DSMT4" shapeId="3079" r:id="rId14">
          <objectPr defaultSize="0" autoPict="0" r:id="rId15">
            <anchor moveWithCells="1" sizeWithCells="1">
              <from>
                <xdr:col>0</xdr:col>
                <xdr:colOff>0</xdr:colOff>
                <xdr:row>28</xdr:row>
                <xdr:rowOff>0</xdr:rowOff>
              </from>
              <to>
                <xdr:col>3</xdr:col>
                <xdr:colOff>28575</xdr:colOff>
                <xdr:row>30</xdr:row>
                <xdr:rowOff>76200</xdr:rowOff>
              </to>
            </anchor>
          </objectPr>
        </oleObject>
      </mc:Choice>
      <mc:Fallback>
        <oleObject progId="Equation.DSMT4" shapeId="3079" r:id="rId1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FFB9-0271-4272-9C03-DBFED967F3A9}">
  <dimension ref="A1:T72"/>
  <sheetViews>
    <sheetView tabSelected="1" workbookViewId="0">
      <selection activeCell="D23" sqref="D23"/>
    </sheetView>
  </sheetViews>
  <sheetFormatPr defaultRowHeight="15" x14ac:dyDescent="0.25"/>
  <cols>
    <col min="19" max="19" width="11" bestFit="1" customWidth="1"/>
    <col min="20" max="20" width="12" bestFit="1" customWidth="1"/>
  </cols>
  <sheetData>
    <row r="1" spans="1:20" x14ac:dyDescent="0.25">
      <c r="B1" t="s">
        <v>15</v>
      </c>
      <c r="C1">
        <v>125</v>
      </c>
      <c r="D1" t="s">
        <v>25</v>
      </c>
      <c r="G1" t="s">
        <v>0</v>
      </c>
      <c r="H1">
        <v>2.5</v>
      </c>
      <c r="R1" t="s">
        <v>9</v>
      </c>
      <c r="S1" t="s">
        <v>31</v>
      </c>
      <c r="T1" t="s">
        <v>39</v>
      </c>
    </row>
    <row r="2" spans="1:20" x14ac:dyDescent="0.25">
      <c r="B2" t="s">
        <v>11</v>
      </c>
      <c r="C2">
        <v>75</v>
      </c>
      <c r="F2" t="s">
        <v>10</v>
      </c>
      <c r="G2" t="s">
        <v>3</v>
      </c>
      <c r="H2" t="s">
        <v>2</v>
      </c>
      <c r="I2" t="s">
        <v>4</v>
      </c>
      <c r="J2" t="s">
        <v>5</v>
      </c>
      <c r="K2" t="s">
        <v>1</v>
      </c>
      <c r="L2" t="s">
        <v>12</v>
      </c>
      <c r="P2" t="s">
        <v>36</v>
      </c>
      <c r="R2">
        <v>0.1</v>
      </c>
      <c r="S2" s="2">
        <f>_xlfn.LOGNORM.DIST(R2,$P$14,$P$15,FALSE)</f>
        <v>6.487574639240518E-50</v>
      </c>
      <c r="T2" s="2">
        <f>_xlfn.LOGNORM.DIST(R2,$P$14,$P$15,TRUE)</f>
        <v>2.017041411378817E-52</v>
      </c>
    </row>
    <row r="3" spans="1:20" x14ac:dyDescent="0.25">
      <c r="A3" t="s">
        <v>24</v>
      </c>
      <c r="C3" t="s">
        <v>7</v>
      </c>
      <c r="D3" s="1">
        <v>0.05</v>
      </c>
      <c r="F3">
        <v>70</v>
      </c>
      <c r="G3">
        <f>(LN(F3/$C$2)+($D$3+0.5*$D$4^2)*$H$1)/($D$4*SQRT($H$1))</f>
        <v>0.35524421871729039</v>
      </c>
      <c r="H3">
        <f>NORMSDIST(G3)</f>
        <v>0.63879667975906118</v>
      </c>
      <c r="I3">
        <f t="shared" ref="I3:I66" si="0">G3-$D$4*SQRT($H$1)</f>
        <v>-0.11909743030796649</v>
      </c>
      <c r="J3">
        <f>NORMSDIST(I3)</f>
        <v>0.45259908328593124</v>
      </c>
      <c r="K3">
        <f>IF(F3-$C$2&gt;0,F3-$C$2,0)</f>
        <v>0</v>
      </c>
      <c r="L3">
        <f>F3*H3-$C$2*J3/EXP($D$3*$H$1)</f>
        <v>14.759470899699654</v>
      </c>
      <c r="N3" t="s">
        <v>21</v>
      </c>
      <c r="O3">
        <f>(LN($C$1)-LN($C$2)+($D$3+0.5*$D$4^2)*$H$1)/($D$4*SQRT($H$1))</f>
        <v>1.5776089350445084</v>
      </c>
      <c r="R3">
        <f>10</f>
        <v>10</v>
      </c>
      <c r="S3" s="2">
        <f t="shared" ref="S3:S53" si="1">_xlfn.LOGNORM.DIST(R3,$P$14,$P$15,FALSE)</f>
        <v>2.4951310785292549E-8</v>
      </c>
      <c r="T3" s="2">
        <f t="shared" ref="T3:T53" si="2">_xlfn.LOGNORM.DIST(R3,$P$14,$P$15,TRUE)</f>
        <v>2.0930252251553377E-8</v>
      </c>
    </row>
    <row r="4" spans="1:20" x14ac:dyDescent="0.25">
      <c r="C4" t="s">
        <v>8</v>
      </c>
      <c r="D4">
        <v>0.3</v>
      </c>
      <c r="F4">
        <f>F3+1</f>
        <v>71</v>
      </c>
      <c r="G4">
        <f t="shared" ref="G4:G67" si="3">(LN(F4/$C$2)+($D$3+0.5*$D$4^2)*$H$1)/($D$4*SQRT($H$1))</f>
        <v>0.38514805495242804</v>
      </c>
      <c r="H4">
        <f t="shared" ref="H4:H67" si="4">NORMSDIST(G4)</f>
        <v>0.6499361368476777</v>
      </c>
      <c r="I4">
        <f t="shared" si="0"/>
        <v>-8.9193594072828841E-2</v>
      </c>
      <c r="J4">
        <f t="shared" ref="J4:J67" si="5">NORMSDIST(I4)</f>
        <v>0.46446402813869975</v>
      </c>
      <c r="K4">
        <f t="shared" ref="K4:K67" si="6">IF(F4-$C$2&gt;0,F4-$C$2,0)</f>
        <v>0</v>
      </c>
      <c r="L4">
        <f t="shared" ref="L4:L67" si="7">F4*H4-$C$2*J4/EXP($D$3*$H$1)</f>
        <v>15.403860751607599</v>
      </c>
      <c r="N4" t="s">
        <v>20</v>
      </c>
      <c r="O4">
        <f>-O3</f>
        <v>-1.5776089350445084</v>
      </c>
      <c r="P4">
        <f>_xlfn.NORM.S.DIST($O$4,TRUE)</f>
        <v>5.7327739213400154E-2</v>
      </c>
      <c r="R4">
        <f t="shared" ref="R4:R15" si="8">R3+10</f>
        <v>20</v>
      </c>
      <c r="S4" s="2">
        <f t="shared" si="1"/>
        <v>1.2939646725529638E-5</v>
      </c>
      <c r="T4" s="2">
        <f t="shared" si="2"/>
        <v>2.8910077890473733E-5</v>
      </c>
    </row>
    <row r="5" spans="1:20" x14ac:dyDescent="0.25">
      <c r="C5" t="s">
        <v>16</v>
      </c>
      <c r="D5" s="1">
        <v>7.4999999999999997E-2</v>
      </c>
      <c r="F5">
        <f t="shared" ref="F5:F68" si="9">F4+1</f>
        <v>72</v>
      </c>
      <c r="G5">
        <f t="shared" si="3"/>
        <v>0.41463364198338076</v>
      </c>
      <c r="H5">
        <f t="shared" si="4"/>
        <v>0.66079494170387854</v>
      </c>
      <c r="I5">
        <f t="shared" si="0"/>
        <v>-5.9708007041876121E-2</v>
      </c>
      <c r="J5">
        <f t="shared" si="5"/>
        <v>0.47619409720899208</v>
      </c>
      <c r="K5">
        <f t="shared" si="6"/>
        <v>0</v>
      </c>
      <c r="L5">
        <f t="shared" si="7"/>
        <v>16.059249616479011</v>
      </c>
      <c r="N5" t="s">
        <v>34</v>
      </c>
      <c r="O5">
        <f>(LN($C$1)-LN($C$2)+($D$3-0.5*$D$4^2)*$H$1)/($D$4*SQRT($H$1))</f>
        <v>1.1032672860192512</v>
      </c>
      <c r="R5">
        <f t="shared" si="8"/>
        <v>30</v>
      </c>
      <c r="S5" s="2">
        <f t="shared" si="1"/>
        <v>1.8624873972102171E-4</v>
      </c>
      <c r="T5" s="2">
        <f t="shared" si="2"/>
        <v>7.7079217891575175E-4</v>
      </c>
    </row>
    <row r="6" spans="1:20" x14ac:dyDescent="0.25">
      <c r="C6" t="s">
        <v>26</v>
      </c>
      <c r="D6">
        <f>$D$4*SQRT($H$1)</f>
        <v>0.47434164902525688</v>
      </c>
      <c r="F6">
        <f t="shared" si="9"/>
        <v>73</v>
      </c>
      <c r="G6">
        <f t="shared" si="3"/>
        <v>0.4437125182757754</v>
      </c>
      <c r="H6">
        <f t="shared" si="4"/>
        <v>0.67137477815122482</v>
      </c>
      <c r="I6">
        <f t="shared" si="0"/>
        <v>-3.0629130749481481E-2</v>
      </c>
      <c r="J6">
        <f t="shared" si="5"/>
        <v>0.48778265503271712</v>
      </c>
      <c r="K6">
        <f t="shared" si="6"/>
        <v>0</v>
      </c>
      <c r="L6">
        <f t="shared" si="7"/>
        <v>16.725357639974682</v>
      </c>
      <c r="N6" t="s">
        <v>35</v>
      </c>
      <c r="O6">
        <f>-O5</f>
        <v>-1.1032672860192512</v>
      </c>
      <c r="P6">
        <f>_xlfn.NORM.S.DIST(O6,TRUE)</f>
        <v>0.13495555438963866</v>
      </c>
      <c r="R6">
        <f t="shared" si="8"/>
        <v>40</v>
      </c>
      <c r="S6" s="2">
        <f t="shared" si="1"/>
        <v>7.9319902593647407E-4</v>
      </c>
      <c r="T6" s="2">
        <f t="shared" si="2"/>
        <v>5.229810316027636E-3</v>
      </c>
    </row>
    <row r="7" spans="1:20" x14ac:dyDescent="0.25">
      <c r="C7" t="s">
        <v>27</v>
      </c>
      <c r="D7" s="1">
        <f>$D$5*$H$1-0.5*$D$6^2</f>
        <v>7.5000000000000011E-2</v>
      </c>
      <c r="F7">
        <f t="shared" si="9"/>
        <v>74</v>
      </c>
      <c r="G7">
        <f t="shared" si="3"/>
        <v>0.47239575130778383</v>
      </c>
      <c r="H7">
        <f t="shared" si="4"/>
        <v>0.68167783179062735</v>
      </c>
      <c r="I7">
        <f t="shared" si="0"/>
        <v>-1.9458977174730552E-3</v>
      </c>
      <c r="J7">
        <f t="shared" si="5"/>
        <v>0.49922369961707597</v>
      </c>
      <c r="K7">
        <f t="shared" si="6"/>
        <v>0</v>
      </c>
      <c r="L7">
        <f t="shared" si="7"/>
        <v>17.401906906839528</v>
      </c>
      <c r="R7">
        <f t="shared" si="8"/>
        <v>50</v>
      </c>
      <c r="S7" s="2">
        <f t="shared" si="1"/>
        <v>1.894468371241929E-3</v>
      </c>
      <c r="T7" s="2">
        <f t="shared" si="2"/>
        <v>1.8316790246048629E-2</v>
      </c>
    </row>
    <row r="8" spans="1:20" x14ac:dyDescent="0.25">
      <c r="C8" t="s">
        <v>30</v>
      </c>
      <c r="D8" s="2"/>
      <c r="F8">
        <f t="shared" si="9"/>
        <v>75</v>
      </c>
      <c r="G8">
        <f t="shared" si="3"/>
        <v>0.50069396285999335</v>
      </c>
      <c r="H8">
        <f t="shared" si="4"/>
        <v>0.69170673913307934</v>
      </c>
      <c r="I8">
        <f t="shared" si="0"/>
        <v>2.6352313834736463E-2</v>
      </c>
      <c r="J8">
        <f t="shared" si="5"/>
        <v>0.5105118355133762</v>
      </c>
      <c r="K8">
        <f t="shared" si="6"/>
        <v>0</v>
      </c>
      <c r="L8">
        <f t="shared" si="7"/>
        <v>18.088621916981126</v>
      </c>
      <c r="N8" t="s">
        <v>22</v>
      </c>
      <c r="O8">
        <f>(LN($C$1)-LN($C$2)+($D$5+0.5*$D$4^2)*$H$1)/($D$4*SQRT($H$1))</f>
        <v>1.7093705042181908</v>
      </c>
      <c r="R8">
        <f t="shared" si="8"/>
        <v>60</v>
      </c>
      <c r="S8" s="2">
        <f t="shared" si="1"/>
        <v>3.2739860900253739E-3</v>
      </c>
      <c r="T8" s="2">
        <f t="shared" si="2"/>
        <v>4.405463443503474E-2</v>
      </c>
    </row>
    <row r="9" spans="1:20" x14ac:dyDescent="0.25">
      <c r="D9" s="5"/>
      <c r="F9">
        <f t="shared" si="9"/>
        <v>76</v>
      </c>
      <c r="G9">
        <f t="shared" si="3"/>
        <v>0.52861735263029686</v>
      </c>
      <c r="H9">
        <f t="shared" si="4"/>
        <v>0.70146453987865076</v>
      </c>
      <c r="I9">
        <f t="shared" si="0"/>
        <v>5.4275703605039971E-2</v>
      </c>
      <c r="J9">
        <f t="shared" si="5"/>
        <v>0.52164224663602554</v>
      </c>
      <c r="K9">
        <f t="shared" si="6"/>
        <v>1</v>
      </c>
      <c r="L9">
        <f t="shared" si="7"/>
        <v>18.7852300122603</v>
      </c>
      <c r="N9" t="s">
        <v>33</v>
      </c>
      <c r="O9">
        <f>-O8</f>
        <v>-1.7093705042181908</v>
      </c>
      <c r="P9">
        <f>_xlfn.NORM.S.DIST($O$9,TRUE)</f>
        <v>4.3691170491648341E-2</v>
      </c>
      <c r="R9">
        <f t="shared" si="8"/>
        <v>70</v>
      </c>
      <c r="S9" s="2">
        <f t="shared" si="1"/>
        <v>4.6333880488592738E-3</v>
      </c>
      <c r="T9" s="2">
        <f t="shared" si="2"/>
        <v>8.3719667196161293E-2</v>
      </c>
    </row>
    <row r="10" spans="1:20" x14ac:dyDescent="0.25">
      <c r="F10">
        <f t="shared" si="9"/>
        <v>77</v>
      </c>
      <c r="G10">
        <f t="shared" si="3"/>
        <v>0.5561757203051888</v>
      </c>
      <c r="H10">
        <f t="shared" si="4"/>
        <v>0.71095463225974442</v>
      </c>
      <c r="I10">
        <f t="shared" si="0"/>
        <v>8.1834071279931919E-2</v>
      </c>
      <c r="J10">
        <f t="shared" si="5"/>
        <v>0.53261066901812137</v>
      </c>
      <c r="K10">
        <f t="shared" si="6"/>
        <v>2</v>
      </c>
      <c r="L10">
        <f t="shared" si="7"/>
        <v>19.491461757100232</v>
      </c>
      <c r="N10" t="s">
        <v>37</v>
      </c>
      <c r="O10">
        <f>(LN($C$1)-LN($C$2)+($D$5-0.5*$D$4^2)*$H$1)/($D$4*SQRT($H$1))</f>
        <v>1.2350288551929336</v>
      </c>
      <c r="R10">
        <f t="shared" si="8"/>
        <v>80</v>
      </c>
      <c r="S10" s="2">
        <f t="shared" si="1"/>
        <v>5.7474158822494546E-3</v>
      </c>
      <c r="T10" s="2">
        <f t="shared" si="2"/>
        <v>0.13589063990826414</v>
      </c>
    </row>
    <row r="11" spans="1:20" x14ac:dyDescent="0.25">
      <c r="F11">
        <f t="shared" si="9"/>
        <v>78</v>
      </c>
      <c r="G11">
        <f t="shared" si="3"/>
        <v>0.58337848620698918</v>
      </c>
      <c r="H11">
        <f t="shared" si="4"/>
        <v>0.7201807313532862</v>
      </c>
      <c r="I11">
        <f t="shared" si="0"/>
        <v>0.10903683718173229</v>
      </c>
      <c r="J11">
        <f t="shared" si="5"/>
        <v>0.54341336366978354</v>
      </c>
      <c r="K11">
        <f t="shared" si="6"/>
        <v>3</v>
      </c>
      <c r="L11">
        <f t="shared" si="7"/>
        <v>20.207051275931796</v>
      </c>
      <c r="N11" t="s">
        <v>38</v>
      </c>
      <c r="O11">
        <f>-O10</f>
        <v>-1.2350288551929336</v>
      </c>
      <c r="P11">
        <f>_xlfn.NORM.S.DIST(O11,TRUE)</f>
        <v>0.10840988264321115</v>
      </c>
      <c r="R11">
        <f t="shared" si="8"/>
        <v>90</v>
      </c>
      <c r="S11" s="2">
        <f t="shared" si="1"/>
        <v>6.5079351221103846E-3</v>
      </c>
      <c r="T11" s="2">
        <f t="shared" si="2"/>
        <v>0.19747877324618521</v>
      </c>
    </row>
    <row r="12" spans="1:20" x14ac:dyDescent="0.25">
      <c r="F12">
        <f t="shared" si="9"/>
        <v>79</v>
      </c>
      <c r="G12">
        <f t="shared" si="3"/>
        <v>0.61023471062583912</v>
      </c>
      <c r="H12">
        <f t="shared" si="4"/>
        <v>0.72914683025629601</v>
      </c>
      <c r="I12">
        <f t="shared" si="0"/>
        <v>0.13589306160058223</v>
      </c>
      <c r="J12">
        <f t="shared" si="5"/>
        <v>0.55404708968317051</v>
      </c>
      <c r="K12">
        <f t="shared" si="6"/>
        <v>4</v>
      </c>
      <c r="L12">
        <f t="shared" si="7"/>
        <v>20.931736550391825</v>
      </c>
      <c r="R12">
        <f t="shared" si="8"/>
        <v>100</v>
      </c>
      <c r="S12" s="2">
        <f t="shared" si="1"/>
        <v>6.9028999396747222E-3</v>
      </c>
      <c r="T12" s="2">
        <f t="shared" si="2"/>
        <v>0.26482453821449403</v>
      </c>
    </row>
    <row r="13" spans="1:20" x14ac:dyDescent="0.25">
      <c r="F13">
        <f t="shared" si="9"/>
        <v>80</v>
      </c>
      <c r="G13">
        <f t="shared" si="3"/>
        <v>0.63675311193575734</v>
      </c>
      <c r="H13">
        <f t="shared" si="4"/>
        <v>0.7378571640117273</v>
      </c>
      <c r="I13">
        <f t="shared" si="0"/>
        <v>0.16241146291050046</v>
      </c>
      <c r="J13">
        <f t="shared" si="5"/>
        <v>0.56450907770787351</v>
      </c>
      <c r="K13">
        <f t="shared" si="6"/>
        <v>5</v>
      </c>
      <c r="L13">
        <f t="shared" si="7"/>
        <v>21.665259679081807</v>
      </c>
      <c r="R13">
        <f t="shared" si="8"/>
        <v>110</v>
      </c>
      <c r="S13" s="2">
        <f t="shared" si="1"/>
        <v>6.9778338856650787E-3</v>
      </c>
      <c r="T13" s="2">
        <f t="shared" si="2"/>
        <v>0.33446743543421387</v>
      </c>
    </row>
    <row r="14" spans="1:20" x14ac:dyDescent="0.25">
      <c r="F14">
        <f t="shared" si="9"/>
        <v>81</v>
      </c>
      <c r="G14">
        <f t="shared" si="3"/>
        <v>0.66294208358537909</v>
      </c>
      <c r="H14">
        <f t="shared" si="4"/>
        <v>0.74631617616616763</v>
      </c>
      <c r="I14">
        <f t="shared" si="0"/>
        <v>0.18860043456012221</v>
      </c>
      <c r="J14">
        <f t="shared" si="5"/>
        <v>0.57479700390199406</v>
      </c>
      <c r="K14">
        <f t="shared" si="6"/>
        <v>6</v>
      </c>
      <c r="L14">
        <f t="shared" si="7"/>
        <v>22.407367102578426</v>
      </c>
      <c r="N14" t="s">
        <v>17</v>
      </c>
      <c r="O14">
        <f>$C$1*EXP(($D$5-0.5*$D$4^2)*$H$1)</f>
        <v>134.73551886057894</v>
      </c>
      <c r="P14">
        <f>LN(O14)</f>
        <v>4.9033137373023008</v>
      </c>
      <c r="R14">
        <f t="shared" si="8"/>
        <v>120</v>
      </c>
      <c r="S14" s="2">
        <f t="shared" si="1"/>
        <v>6.8028518941788876E-3</v>
      </c>
      <c r="T14" s="2">
        <f t="shared" si="2"/>
        <v>0.40354795240477925</v>
      </c>
    </row>
    <row r="15" spans="1:20" x14ac:dyDescent="0.25">
      <c r="F15">
        <f t="shared" si="9"/>
        <v>82</v>
      </c>
      <c r="G15">
        <f t="shared" si="3"/>
        <v>0.68880971004624014</v>
      </c>
      <c r="H15">
        <f t="shared" si="4"/>
        <v>0.75452848783766213</v>
      </c>
      <c r="I15">
        <f t="shared" si="0"/>
        <v>0.21446806102098326</v>
      </c>
      <c r="J15">
        <f t="shared" si="5"/>
        <v>0.58490896444757801</v>
      </c>
      <c r="K15">
        <f t="shared" si="6"/>
        <v>7</v>
      </c>
      <c r="L15">
        <f t="shared" si="7"/>
        <v>23.157809796266982</v>
      </c>
      <c r="N15" t="s">
        <v>18</v>
      </c>
      <c r="O15">
        <f>$D$4*$C$1*SQRT($H$1)</f>
        <v>59.292706128157114</v>
      </c>
      <c r="P15">
        <f>$D$4*SQRT($H$1)</f>
        <v>0.47434164902525688</v>
      </c>
      <c r="R15">
        <f t="shared" si="8"/>
        <v>130</v>
      </c>
      <c r="S15" s="2">
        <f t="shared" si="1"/>
        <v>6.4511921266150055E-3</v>
      </c>
      <c r="T15" s="2">
        <f t="shared" si="2"/>
        <v>0.46993655005558582</v>
      </c>
    </row>
    <row r="16" spans="1:20" x14ac:dyDescent="0.25">
      <c r="F16">
        <f t="shared" si="9"/>
        <v>83</v>
      </c>
      <c r="G16">
        <f t="shared" si="3"/>
        <v>0.7143637817944275</v>
      </c>
      <c r="H16">
        <f t="shared" si="4"/>
        <v>0.76249886917021226</v>
      </c>
      <c r="I16">
        <f t="shared" si="0"/>
        <v>0.24002213276917062</v>
      </c>
      <c r="J16">
        <f t="shared" si="5"/>
        <v>0.59484345070407918</v>
      </c>
      <c r="K16">
        <f t="shared" si="6"/>
        <v>8</v>
      </c>
      <c r="L16">
        <f t="shared" si="7"/>
        <v>23.916343433446443</v>
      </c>
      <c r="N16" t="s">
        <v>40</v>
      </c>
      <c r="O16">
        <f>($O$14-$C$2)/($D$4*SQRT($H$1)*$C$1)</f>
        <v>1.0074682496606702</v>
      </c>
      <c r="R16">
        <f>R15+10</f>
        <v>140</v>
      </c>
      <c r="S16" s="2">
        <f t="shared" si="1"/>
        <v>5.9878781738154051E-3</v>
      </c>
      <c r="T16" s="2">
        <f t="shared" si="2"/>
        <v>0.53220107202930433</v>
      </c>
    </row>
    <row r="17" spans="1:20" x14ac:dyDescent="0.25">
      <c r="F17">
        <f t="shared" si="9"/>
        <v>84</v>
      </c>
      <c r="G17">
        <f t="shared" si="3"/>
        <v>0.73961180939505267</v>
      </c>
      <c r="H17">
        <f t="shared" si="4"/>
        <v>0.77023221305117318</v>
      </c>
      <c r="I17">
        <f t="shared" si="0"/>
        <v>0.26527016036979578</v>
      </c>
      <c r="J17">
        <f t="shared" si="5"/>
        <v>0.60459932506005876</v>
      </c>
      <c r="K17">
        <f t="shared" si="6"/>
        <v>9</v>
      </c>
      <c r="L17">
        <f t="shared" si="7"/>
        <v>24.68272852103064</v>
      </c>
      <c r="O17">
        <f>-O16</f>
        <v>-1.0074682496606702</v>
      </c>
      <c r="P17">
        <f>_xlfn.NORM.S.DIST(O17,TRUE)</f>
        <v>0.15685490401623747</v>
      </c>
      <c r="R17">
        <f>R16+10</f>
        <v>150</v>
      </c>
      <c r="S17" s="2">
        <f t="shared" si="1"/>
        <v>5.4652699685113501E-3</v>
      </c>
      <c r="T17" s="2">
        <f t="shared" si="2"/>
        <v>0.58949794962760294</v>
      </c>
    </row>
    <row r="18" spans="1:20" x14ac:dyDescent="0.25">
      <c r="A18" t="s">
        <v>32</v>
      </c>
      <c r="F18">
        <f t="shared" si="9"/>
        <v>85</v>
      </c>
      <c r="G18">
        <f t="shared" si="3"/>
        <v>0.7645610367532697</v>
      </c>
      <c r="H18">
        <f t="shared" si="4"/>
        <v>0.77773351096859655</v>
      </c>
      <c r="I18">
        <f t="shared" si="0"/>
        <v>0.29021938772801281</v>
      </c>
      <c r="J18">
        <f t="shared" si="5"/>
        <v>0.61417579753128448</v>
      </c>
      <c r="K18">
        <f t="shared" si="6"/>
        <v>10</v>
      </c>
      <c r="L18">
        <f t="shared" si="7"/>
        <v>25.456730510047045</v>
      </c>
      <c r="R18">
        <f>R17+10</f>
        <v>160</v>
      </c>
      <c r="S18" s="2">
        <f t="shared" si="1"/>
        <v>4.9225912360354616E-3</v>
      </c>
      <c r="T18" s="2">
        <f t="shared" si="2"/>
        <v>0.64144087418383955</v>
      </c>
    </row>
    <row r="19" spans="1:20" x14ac:dyDescent="0.25">
      <c r="F19">
        <f t="shared" si="9"/>
        <v>86</v>
      </c>
      <c r="G19">
        <f t="shared" si="3"/>
        <v>0.78921845359032383</v>
      </c>
      <c r="H19">
        <f t="shared" si="4"/>
        <v>0.78500783088731196</v>
      </c>
      <c r="I19">
        <f t="shared" si="0"/>
        <v>0.31487680456506695</v>
      </c>
      <c r="J19">
        <f t="shared" si="5"/>
        <v>0.6235724031426495</v>
      </c>
      <c r="K19">
        <f t="shared" si="6"/>
        <v>11</v>
      </c>
      <c r="L19">
        <f t="shared" si="7"/>
        <v>26.23811988301226</v>
      </c>
      <c r="R19">
        <f>R18+10</f>
        <v>170</v>
      </c>
      <c r="S19" s="2">
        <f t="shared" si="1"/>
        <v>4.3873989485458233E-3</v>
      </c>
      <c r="T19" s="2">
        <f t="shared" si="2"/>
        <v>0.68797578332895104</v>
      </c>
    </row>
    <row r="20" spans="1:20" x14ac:dyDescent="0.25">
      <c r="F20">
        <f t="shared" si="9"/>
        <v>87</v>
      </c>
      <c r="G20">
        <f t="shared" si="3"/>
        <v>0.81359080719838794</v>
      </c>
      <c r="H20">
        <f t="shared" si="4"/>
        <v>0.79206029702506475</v>
      </c>
      <c r="I20">
        <f t="shared" si="0"/>
        <v>0.33924915817313106</v>
      </c>
      <c r="J20">
        <f t="shared" si="5"/>
        <v>0.63278898012181051</v>
      </c>
      <c r="K20">
        <f t="shared" si="6"/>
        <v>12</v>
      </c>
      <c r="L20">
        <f t="shared" si="7"/>
        <v>27.026672220143418</v>
      </c>
      <c r="N20" t="s">
        <v>42</v>
      </c>
      <c r="R20">
        <f t="shared" ref="R20:R25" si="10">R19+10</f>
        <v>180</v>
      </c>
      <c r="S20" s="2">
        <f t="shared" si="1"/>
        <v>3.8777618649863464E-3</v>
      </c>
      <c r="T20" s="2">
        <f t="shared" si="2"/>
        <v>0.72927484034694501</v>
      </c>
    </row>
    <row r="21" spans="1:20" x14ac:dyDescent="0.25">
      <c r="A21" t="s">
        <v>41</v>
      </c>
      <c r="D21">
        <f>$C$1*EXP($D$3*$H$1)</f>
        <v>141.64355663335328</v>
      </c>
      <c r="F21">
        <f t="shared" si="9"/>
        <v>88</v>
      </c>
      <c r="G21">
        <f t="shared" si="3"/>
        <v>0.83768461352365597</v>
      </c>
      <c r="H21">
        <f t="shared" si="4"/>
        <v>0.798896071413155</v>
      </c>
      <c r="I21">
        <f t="shared" si="0"/>
        <v>0.36334296449839909</v>
      </c>
      <c r="J21">
        <f t="shared" si="5"/>
        <v>0.64182564892402871</v>
      </c>
      <c r="K21">
        <f t="shared" si="6"/>
        <v>13</v>
      </c>
      <c r="L21">
        <f t="shared" si="7"/>
        <v>27.822168246247386</v>
      </c>
      <c r="N21" t="s">
        <v>43</v>
      </c>
      <c r="O21">
        <f>C2*P11-D21*P9</f>
        <v>1.9421684163295501</v>
      </c>
      <c r="R21">
        <f t="shared" si="10"/>
        <v>190</v>
      </c>
      <c r="S21" s="2">
        <f t="shared" si="1"/>
        <v>3.4044857574243512E-3</v>
      </c>
      <c r="T21" s="2">
        <f t="shared" si="2"/>
        <v>0.76565280744355413</v>
      </c>
    </row>
    <row r="22" spans="1:20" x14ac:dyDescent="0.25">
      <c r="C22" t="s">
        <v>44</v>
      </c>
      <c r="D22">
        <f>O14*P9</f>
        <v>5.8867525258182551</v>
      </c>
      <c r="E22">
        <f>D21*P9</f>
        <v>6.1885727819112857</v>
      </c>
      <c r="F22">
        <f t="shared" si="9"/>
        <v>89</v>
      </c>
      <c r="G22">
        <f t="shared" si="3"/>
        <v>0.86150616762322396</v>
      </c>
      <c r="H22">
        <f t="shared" si="4"/>
        <v>0.8055203371296219</v>
      </c>
      <c r="I22">
        <f t="shared" si="0"/>
        <v>0.38716451859796708</v>
      </c>
      <c r="J22">
        <f t="shared" si="5"/>
        <v>0.65068279210029023</v>
      </c>
      <c r="K22">
        <f t="shared" si="6"/>
        <v>14</v>
      </c>
      <c r="L22">
        <f t="shared" si="7"/>
        <v>28.62439386001617</v>
      </c>
      <c r="R22">
        <f t="shared" si="10"/>
        <v>200</v>
      </c>
      <c r="S22" s="2">
        <f t="shared" si="1"/>
        <v>2.9730793207228693E-3</v>
      </c>
      <c r="T22" s="2">
        <f t="shared" si="2"/>
        <v>0.79750452667407934</v>
      </c>
    </row>
    <row r="23" spans="1:20" x14ac:dyDescent="0.25">
      <c r="C23" t="s">
        <v>46</v>
      </c>
      <c r="D23">
        <f>C2*P11</f>
        <v>8.1307411982408357</v>
      </c>
      <c r="F23">
        <f t="shared" si="9"/>
        <v>90</v>
      </c>
      <c r="G23">
        <f t="shared" si="3"/>
        <v>0.88506155353775551</v>
      </c>
      <c r="H23">
        <f t="shared" si="4"/>
        <v>0.81193828309699445</v>
      </c>
      <c r="I23">
        <f t="shared" si="0"/>
        <v>0.41071990451249862</v>
      </c>
      <c r="J23">
        <f t="shared" si="5"/>
        <v>0.6593610350143162</v>
      </c>
      <c r="K23">
        <f t="shared" si="6"/>
        <v>15</v>
      </c>
      <c r="L23">
        <f t="shared" si="7"/>
        <v>29.433140147346478</v>
      </c>
      <c r="R23">
        <f t="shared" si="10"/>
        <v>210</v>
      </c>
      <c r="S23" s="2">
        <f t="shared" si="1"/>
        <v>2.5853566649667258E-3</v>
      </c>
      <c r="T23" s="2">
        <f t="shared" si="2"/>
        <v>0.82526027512999212</v>
      </c>
    </row>
    <row r="24" spans="1:20" x14ac:dyDescent="0.25">
      <c r="D24">
        <f>D23-D22</f>
        <v>2.2439886724225806</v>
      </c>
      <c r="E24">
        <f>D23-E22</f>
        <v>1.9421684163295501</v>
      </c>
      <c r="F24">
        <f t="shared" si="9"/>
        <v>91</v>
      </c>
      <c r="G24">
        <f t="shared" si="3"/>
        <v>0.90835665361866069</v>
      </c>
      <c r="H24">
        <f t="shared" si="4"/>
        <v>0.81815509034085221</v>
      </c>
      <c r="I24">
        <f t="shared" si="0"/>
        <v>0.43401500459340381</v>
      </c>
      <c r="J24">
        <f t="shared" si="5"/>
        <v>0.66786122740843257</v>
      </c>
      <c r="K24">
        <f t="shared" si="6"/>
        <v>16</v>
      </c>
      <c r="L24">
        <f t="shared" si="7"/>
        <v>30.248203380195967</v>
      </c>
      <c r="R24">
        <f t="shared" si="10"/>
        <v>220</v>
      </c>
      <c r="S24" s="2">
        <f t="shared" si="1"/>
        <v>2.2406756661254284E-3</v>
      </c>
      <c r="T24" s="2">
        <f t="shared" si="2"/>
        <v>0.8493552995177871</v>
      </c>
    </row>
    <row r="25" spans="1:20" x14ac:dyDescent="0.25">
      <c r="C25" t="s">
        <v>45</v>
      </c>
      <c r="D25">
        <f>D22/D23</f>
        <v>0.72401179453257114</v>
      </c>
      <c r="E25">
        <f>E22/D23</f>
        <v>0.76113267302742871</v>
      </c>
      <c r="F25">
        <f t="shared" si="9"/>
        <v>92</v>
      </c>
      <c r="G25">
        <f t="shared" si="3"/>
        <v>0.93139715734556039</v>
      </c>
      <c r="H25">
        <f t="shared" si="4"/>
        <v>0.82417591960986303</v>
      </c>
      <c r="I25">
        <f t="shared" si="0"/>
        <v>0.45705550832030351</v>
      </c>
      <c r="J25">
        <f t="shared" si="5"/>
        <v>0.67618442581340532</v>
      </c>
      <c r="K25">
        <f t="shared" si="6"/>
        <v>17</v>
      </c>
      <c r="L25">
        <f t="shared" si="7"/>
        <v>31.069385002386902</v>
      </c>
      <c r="R25">
        <f t="shared" si="10"/>
        <v>230</v>
      </c>
      <c r="S25" s="2">
        <f t="shared" si="1"/>
        <v>1.9368571161256195E-3</v>
      </c>
      <c r="T25" s="2">
        <f t="shared" si="2"/>
        <v>0.87021009150025064</v>
      </c>
    </row>
    <row r="26" spans="1:20" x14ac:dyDescent="0.25">
      <c r="F26">
        <f t="shared" si="9"/>
        <v>93</v>
      </c>
      <c r="G26">
        <f t="shared" si="3"/>
        <v>0.9541885696671043</v>
      </c>
      <c r="H26">
        <f t="shared" si="4"/>
        <v>0.830005900262485</v>
      </c>
      <c r="I26">
        <f t="shared" si="0"/>
        <v>0.47984692064184742</v>
      </c>
      <c r="J26">
        <f t="shared" si="5"/>
        <v>0.68433187679316376</v>
      </c>
      <c r="K26">
        <f t="shared" si="6"/>
        <v>18</v>
      </c>
      <c r="L26">
        <f t="shared" si="7"/>
        <v>31.896491603670853</v>
      </c>
      <c r="R26">
        <f t="shared" ref="R26:R53" si="11">R25+10</f>
        <v>240</v>
      </c>
      <c r="S26" s="2">
        <f t="shared" si="1"/>
        <v>1.670843990132146E-3</v>
      </c>
      <c r="T26" s="2">
        <f t="shared" si="2"/>
        <v>0.88821850463074259</v>
      </c>
    </row>
    <row r="27" spans="1:20" x14ac:dyDescent="0.25">
      <c r="F27">
        <f t="shared" si="9"/>
        <v>94</v>
      </c>
      <c r="G27">
        <f t="shared" si="3"/>
        <v>0.97673621889572726</v>
      </c>
      <c r="H27">
        <f t="shared" si="4"/>
        <v>0.83565012033010488</v>
      </c>
      <c r="I27">
        <f t="shared" si="0"/>
        <v>0.50239456987047038</v>
      </c>
      <c r="J27">
        <f t="shared" si="5"/>
        <v>0.6923050010117815</v>
      </c>
      <c r="K27">
        <f t="shared" si="6"/>
        <v>19</v>
      </c>
      <c r="L27">
        <f t="shared" si="7"/>
        <v>32.729334883275683</v>
      </c>
      <c r="R27">
        <f t="shared" si="11"/>
        <v>250</v>
      </c>
      <c r="S27" s="2">
        <f t="shared" si="1"/>
        <v>1.4391590676816025E-3</v>
      </c>
      <c r="T27" s="2">
        <f t="shared" si="2"/>
        <v>0.90374140983712148</v>
      </c>
    </row>
    <row r="28" spans="1:20" x14ac:dyDescent="0.25">
      <c r="F28">
        <f t="shared" si="9"/>
        <v>95</v>
      </c>
      <c r="G28">
        <f t="shared" si="3"/>
        <v>0.99904526418467121</v>
      </c>
      <c r="H28">
        <f t="shared" si="4"/>
        <v>0.84111361767096504</v>
      </c>
      <c r="I28">
        <f t="shared" si="0"/>
        <v>0.52470361515941433</v>
      </c>
      <c r="J28">
        <f t="shared" si="5"/>
        <v>0.70010537810708184</v>
      </c>
      <c r="K28">
        <f t="shared" si="6"/>
        <v>20</v>
      </c>
      <c r="L28">
        <f t="shared" si="7"/>
        <v>33.567731604067923</v>
      </c>
      <c r="R28">
        <f t="shared" si="11"/>
        <v>260</v>
      </c>
      <c r="S28" s="2">
        <f t="shared" si="1"/>
        <v>1.2382115037198856E-3</v>
      </c>
      <c r="T28" s="2">
        <f t="shared" si="2"/>
        <v>0.91710413361068888</v>
      </c>
    </row>
    <row r="29" spans="1:20" x14ac:dyDescent="0.25">
      <c r="F29">
        <f t="shared" si="9"/>
        <v>96</v>
      </c>
      <c r="G29">
        <f t="shared" si="3"/>
        <v>1.0211207026135196</v>
      </c>
      <c r="H29">
        <f t="shared" si="4"/>
        <v>0.84640137213378008</v>
      </c>
      <c r="I29">
        <f t="shared" si="0"/>
        <v>0.54677905358826273</v>
      </c>
      <c r="J29">
        <f t="shared" si="5"/>
        <v>0.70773473235273876</v>
      </c>
      <c r="K29">
        <f t="shared" si="6"/>
        <v>21</v>
      </c>
      <c r="L29">
        <f t="shared" si="7"/>
        <v>34.411503538380671</v>
      </c>
      <c r="R29">
        <f t="shared" si="11"/>
        <v>270</v>
      </c>
      <c r="S29" s="2">
        <f t="shared" si="1"/>
        <v>1.0644934215238006E-3</v>
      </c>
      <c r="T29" s="2">
        <f t="shared" si="2"/>
        <v>0.92859638176075932</v>
      </c>
    </row>
    <row r="30" spans="1:20" x14ac:dyDescent="0.25">
      <c r="F30">
        <f t="shared" si="9"/>
        <v>97</v>
      </c>
      <c r="G30">
        <f t="shared" si="3"/>
        <v>1.0429673759065803</v>
      </c>
      <c r="H30">
        <f t="shared" si="4"/>
        <v>0.85151829865441542</v>
      </c>
      <c r="I30">
        <f t="shared" si="0"/>
        <v>0.5686257268813234</v>
      </c>
      <c r="J30">
        <f t="shared" si="5"/>
        <v>0.71519491908869082</v>
      </c>
      <c r="K30">
        <f t="shared" si="6"/>
        <v>22</v>
      </c>
      <c r="L30">
        <f t="shared" si="7"/>
        <v>35.260477406477548</v>
      </c>
      <c r="R30">
        <f t="shared" si="11"/>
        <v>280</v>
      </c>
      <c r="S30" s="2">
        <f t="shared" si="1"/>
        <v>9.1469843575619873E-4</v>
      </c>
      <c r="T30" s="2">
        <f t="shared" si="2"/>
        <v>0.93847371567266424</v>
      </c>
    </row>
    <row r="31" spans="1:20" x14ac:dyDescent="0.25">
      <c r="F31">
        <f t="shared" si="9"/>
        <v>98</v>
      </c>
      <c r="G31">
        <f t="shared" si="3"/>
        <v>1.064589976806724</v>
      </c>
      <c r="H31">
        <f t="shared" si="4"/>
        <v>0.85646924121338874</v>
      </c>
      <c r="I31">
        <f t="shared" si="0"/>
        <v>0.59024832778146707</v>
      </c>
      <c r="J31">
        <f t="shared" si="5"/>
        <v>0.72248791189803585</v>
      </c>
      <c r="K31">
        <f t="shared" si="6"/>
        <v>23</v>
      </c>
      <c r="L31">
        <f t="shared" si="7"/>
        <v>36.114484808549939</v>
      </c>
      <c r="R31">
        <f t="shared" si="11"/>
        <v>290</v>
      </c>
      <c r="S31" s="2">
        <f t="shared" si="1"/>
        <v>7.8578612588224475E-4</v>
      </c>
      <c r="T31" s="2">
        <f t="shared" si="2"/>
        <v>0.94695992641923044</v>
      </c>
    </row>
    <row r="32" spans="1:20" x14ac:dyDescent="0.25">
      <c r="F32">
        <f t="shared" si="9"/>
        <v>99</v>
      </c>
      <c r="G32">
        <f t="shared" si="3"/>
        <v>1.0859930551256542</v>
      </c>
      <c r="H32">
        <f t="shared" si="4"/>
        <v>0.86125896758620202</v>
      </c>
      <c r="I32">
        <f t="shared" si="0"/>
        <v>0.61165140610039737</v>
      </c>
      <c r="J32">
        <f t="shared" si="5"/>
        <v>0.7296157905072671</v>
      </c>
      <c r="K32">
        <f t="shared" si="6"/>
        <v>24</v>
      </c>
      <c r="L32">
        <f t="shared" si="7"/>
        <v>36.973362151073438</v>
      </c>
      <c r="R32">
        <f t="shared" si="11"/>
        <v>300</v>
      </c>
      <c r="S32" s="2">
        <f t="shared" si="1"/>
        <v>6.7501010174748465E-4</v>
      </c>
      <c r="T32" s="2">
        <f t="shared" si="2"/>
        <v>0.95424985913333826</v>
      </c>
    </row>
    <row r="33" spans="6:20" x14ac:dyDescent="0.25">
      <c r="F33" s="3">
        <f t="shared" si="9"/>
        <v>100</v>
      </c>
      <c r="G33" s="3">
        <f t="shared" si="3"/>
        <v>1.1071810234901318</v>
      </c>
      <c r="H33" s="3">
        <f t="shared" si="4"/>
        <v>0.86589216482264908</v>
      </c>
      <c r="I33" s="3">
        <f t="shared" si="0"/>
        <v>0.63283937446487493</v>
      </c>
      <c r="J33" s="3">
        <f t="shared" si="5"/>
        <v>0.73658072938573182</v>
      </c>
      <c r="K33" s="3">
        <f t="shared" si="6"/>
        <v>25</v>
      </c>
      <c r="L33" s="3">
        <f t="shared" si="7"/>
        <v>37.836950568284124</v>
      </c>
      <c r="R33">
        <f t="shared" si="11"/>
        <v>310</v>
      </c>
      <c r="S33" s="2">
        <f t="shared" si="1"/>
        <v>5.7992234944937815E-4</v>
      </c>
      <c r="T33" s="2">
        <f t="shared" si="2"/>
        <v>0.96051239058945792</v>
      </c>
    </row>
    <row r="34" spans="6:20" x14ac:dyDescent="0.25">
      <c r="F34">
        <f t="shared" si="9"/>
        <v>101</v>
      </c>
      <c r="G34">
        <f t="shared" si="3"/>
        <v>1.1281581628023036</v>
      </c>
      <c r="H34">
        <f t="shared" si="4"/>
        <v>0.8703734353952155</v>
      </c>
      <c r="I34">
        <f t="shared" si="0"/>
        <v>0.65381651377704675</v>
      </c>
      <c r="J34">
        <f t="shared" si="5"/>
        <v>0.74338498701946931</v>
      </c>
      <c r="K34">
        <f t="shared" si="6"/>
        <v>26</v>
      </c>
      <c r="L34">
        <f t="shared" si="7"/>
        <v>38.70509583947392</v>
      </c>
      <c r="R34">
        <f t="shared" si="11"/>
        <v>320</v>
      </c>
      <c r="S34" s="2">
        <f t="shared" si="1"/>
        <v>4.9836280712900547E-4</v>
      </c>
      <c r="T34" s="2">
        <f t="shared" si="2"/>
        <v>0.96589337021730282</v>
      </c>
    </row>
    <row r="35" spans="6:20" x14ac:dyDescent="0.25">
      <c r="F35">
        <f t="shared" si="9"/>
        <v>102</v>
      </c>
      <c r="G35">
        <f t="shared" si="3"/>
        <v>1.148928627431032</v>
      </c>
      <c r="H35">
        <f t="shared" si="4"/>
        <v>0.87470729396050906</v>
      </c>
      <c r="I35">
        <f t="shared" si="0"/>
        <v>0.67458697840577508</v>
      </c>
      <c r="J35">
        <f t="shared" si="5"/>
        <v>0.7500308958341193</v>
      </c>
      <c r="K35">
        <f t="shared" si="6"/>
        <v>27</v>
      </c>
      <c r="L35">
        <f t="shared" si="7"/>
        <v>39.577648302744947</v>
      </c>
      <c r="R35">
        <f t="shared" si="11"/>
        <v>330</v>
      </c>
      <c r="S35" s="2">
        <f t="shared" si="1"/>
        <v>4.2844036015730295E-4</v>
      </c>
      <c r="T35" s="2">
        <f t="shared" si="2"/>
        <v>0.97051840974693959</v>
      </c>
    </row>
    <row r="36" spans="6:20" x14ac:dyDescent="0.25">
      <c r="F36">
        <f t="shared" si="9"/>
        <v>103</v>
      </c>
      <c r="G36">
        <f t="shared" si="3"/>
        <v>1.1694964501499794</v>
      </c>
      <c r="H36">
        <f t="shared" si="4"/>
        <v>0.87889816468132032</v>
      </c>
      <c r="I36">
        <f t="shared" si="0"/>
        <v>0.6951548011247225</v>
      </c>
      <c r="J36">
        <f t="shared" si="5"/>
        <v>0.75652085274132519</v>
      </c>
      <c r="K36">
        <f t="shared" si="6"/>
        <v>28</v>
      </c>
      <c r="L36">
        <f t="shared" si="7"/>
        <v>40.45446276581027</v>
      </c>
      <c r="R36">
        <f t="shared" si="11"/>
        <v>340</v>
      </c>
      <c r="S36" s="2">
        <f t="shared" si="1"/>
        <v>3.6850944388885725E-4</v>
      </c>
      <c r="T36" s="2">
        <f t="shared" si="2"/>
        <v>0.97449545802354165</v>
      </c>
    </row>
    <row r="37" spans="6:20" x14ac:dyDescent="0.25">
      <c r="F37">
        <f t="shared" si="9"/>
        <v>104</v>
      </c>
      <c r="G37">
        <f t="shared" si="3"/>
        <v>1.1898655468371278</v>
      </c>
      <c r="H37">
        <f t="shared" si="4"/>
        <v>0.88295037906040241</v>
      </c>
      <c r="I37">
        <f t="shared" si="0"/>
        <v>0.71552389781187087</v>
      </c>
      <c r="J37">
        <f t="shared" si="5"/>
        <v>0.76285731028297865</v>
      </c>
      <c r="K37">
        <f t="shared" si="6"/>
        <v>29</v>
      </c>
      <c r="L37">
        <f t="shared" si="7"/>
        <v>41.33539841437603</v>
      </c>
      <c r="R37">
        <f t="shared" si="11"/>
        <v>350</v>
      </c>
      <c r="S37" s="2">
        <f t="shared" si="1"/>
        <v>3.1714501416209783E-4</v>
      </c>
      <c r="T37" s="2">
        <f t="shared" si="2"/>
        <v>0.97791713186143858</v>
      </c>
    </row>
    <row r="38" spans="6:20" x14ac:dyDescent="0.25">
      <c r="F38">
        <f t="shared" si="9"/>
        <v>105</v>
      </c>
      <c r="G38">
        <f t="shared" si="3"/>
        <v>1.2100397209494269</v>
      </c>
      <c r="H38">
        <f t="shared" si="4"/>
        <v>0.88686817424038766</v>
      </c>
      <c r="I38">
        <f t="shared" si="0"/>
        <v>0.73569807192417003</v>
      </c>
      <c r="J38">
        <f t="shared" si="5"/>
        <v>0.76904276834772434</v>
      </c>
      <c r="K38">
        <f t="shared" si="6"/>
        <v>30</v>
      </c>
      <c r="L38">
        <f t="shared" si="7"/>
        <v>42.220318718594505</v>
      </c>
      <c r="R38">
        <f t="shared" si="11"/>
        <v>360</v>
      </c>
      <c r="S38" s="2">
        <f t="shared" si="1"/>
        <v>2.7311764233045393E-4</v>
      </c>
      <c r="T38" s="2">
        <f t="shared" si="2"/>
        <v>0.98086279609081184</v>
      </c>
    </row>
    <row r="39" spans="6:20" x14ac:dyDescent="0.25">
      <c r="F39">
        <f t="shared" si="9"/>
        <v>106</v>
      </c>
      <c r="G39">
        <f t="shared" si="3"/>
        <v>1.2300226677853667</v>
      </c>
      <c r="H39">
        <f t="shared" si="4"/>
        <v>0.89065569172741321</v>
      </c>
      <c r="I39">
        <f t="shared" si="0"/>
        <v>0.75568101876010985</v>
      </c>
      <c r="J39">
        <f t="shared" si="5"/>
        <v>0.77507976643436105</v>
      </c>
      <c r="K39">
        <f t="shared" si="6"/>
        <v>31</v>
      </c>
      <c r="L39">
        <f t="shared" si="7"/>
        <v>43.109091338032144</v>
      </c>
      <c r="R39">
        <f t="shared" si="11"/>
        <v>370</v>
      </c>
      <c r="S39" s="2">
        <f t="shared" si="1"/>
        <v>2.3536979768345464E-4</v>
      </c>
      <c r="T39" s="2">
        <f t="shared" si="2"/>
        <v>0.98340039983080574</v>
      </c>
    </row>
    <row r="40" spans="6:20" x14ac:dyDescent="0.25">
      <c r="F40">
        <f t="shared" si="9"/>
        <v>107</v>
      </c>
      <c r="G40">
        <f t="shared" si="3"/>
        <v>1.2498179785474186</v>
      </c>
      <c r="H40">
        <f t="shared" si="4"/>
        <v>0.8943169764990222</v>
      </c>
      <c r="I40">
        <f t="shared" si="0"/>
        <v>0.77547632952216172</v>
      </c>
      <c r="J40">
        <f t="shared" si="5"/>
        <v>0.78097087643710028</v>
      </c>
      <c r="K40">
        <f t="shared" si="6"/>
        <v>32</v>
      </c>
      <c r="L40">
        <f t="shared" si="7"/>
        <v>44.001588025556543</v>
      </c>
      <c r="R40">
        <f t="shared" si="11"/>
        <v>380</v>
      </c>
      <c r="S40" s="2">
        <f t="shared" si="1"/>
        <v>2.0299390866802301E-4</v>
      </c>
      <c r="T40" s="2">
        <f t="shared" si="2"/>
        <v>0.98558808413869048</v>
      </c>
    </row>
    <row r="41" spans="6:20" x14ac:dyDescent="0.25">
      <c r="F41">
        <f t="shared" si="9"/>
        <v>108</v>
      </c>
      <c r="G41">
        <f t="shared" si="3"/>
        <v>1.2694291442155174</v>
      </c>
      <c r="H41">
        <f t="shared" si="4"/>
        <v>0.89785597645973581</v>
      </c>
      <c r="I41">
        <f t="shared" si="0"/>
        <v>0.79508749519026056</v>
      </c>
      <c r="J41">
        <f t="shared" si="5"/>
        <v>0.78671869592806742</v>
      </c>
      <c r="K41">
        <f t="shared" si="6"/>
        <v>33</v>
      </c>
      <c r="L41">
        <f t="shared" si="7"/>
        <v>44.897684530508101</v>
      </c>
      <c r="R41">
        <f t="shared" si="11"/>
        <v>390</v>
      </c>
      <c r="S41" s="2">
        <f t="shared" si="1"/>
        <v>1.7521248080658007E-4</v>
      </c>
      <c r="T41" s="2">
        <f t="shared" si="2"/>
        <v>0.98747558042159056</v>
      </c>
    </row>
    <row r="42" spans="6:20" x14ac:dyDescent="0.25">
      <c r="F42">
        <f t="shared" si="9"/>
        <v>109</v>
      </c>
      <c r="G42">
        <f t="shared" si="3"/>
        <v>1.2888595592420362</v>
      </c>
      <c r="H42">
        <f t="shared" si="4"/>
        <v>0.9012765422103608</v>
      </c>
      <c r="I42">
        <f t="shared" si="0"/>
        <v>0.81451791021677933</v>
      </c>
      <c r="J42">
        <f t="shared" si="5"/>
        <v>0.79232584191293731</v>
      </c>
      <c r="K42">
        <f t="shared" si="6"/>
        <v>34</v>
      </c>
      <c r="L42">
        <f t="shared" si="7"/>
        <v>45.797260501486903</v>
      </c>
      <c r="R42">
        <f t="shared" si="11"/>
        <v>400</v>
      </c>
      <c r="S42" s="2">
        <f t="shared" si="1"/>
        <v>1.5136034643008689E-4</v>
      </c>
      <c r="T42" s="2">
        <f t="shared" si="2"/>
        <v>0.9891054206860147</v>
      </c>
    </row>
    <row r="43" spans="6:20" x14ac:dyDescent="0.25">
      <c r="F43">
        <f t="shared" si="9"/>
        <v>110</v>
      </c>
      <c r="G43">
        <f t="shared" si="3"/>
        <v>1.3081125250780306</v>
      </c>
      <c r="H43">
        <f t="shared" si="4"/>
        <v>0.90458242709961301</v>
      </c>
      <c r="I43">
        <f t="shared" si="0"/>
        <v>0.83377087605277367</v>
      </c>
      <c r="J43">
        <f t="shared" si="5"/>
        <v>0.79779494503616766</v>
      </c>
      <c r="K43">
        <f t="shared" si="6"/>
        <v>35</v>
      </c>
      <c r="L43">
        <f t="shared" si="7"/>
        <v>46.700199389052521</v>
      </c>
      <c r="R43">
        <f t="shared" si="11"/>
        <v>410</v>
      </c>
      <c r="S43" s="2">
        <f t="shared" si="1"/>
        <v>1.3086899519913824E-4</v>
      </c>
      <c r="T43" s="2">
        <f t="shared" si="2"/>
        <v>0.99051398076844233</v>
      </c>
    </row>
    <row r="44" spans="6:20" x14ac:dyDescent="0.25">
      <c r="F44">
        <f t="shared" si="9"/>
        <v>111</v>
      </c>
      <c r="G44">
        <f t="shared" si="3"/>
        <v>1.3271912535399204</v>
      </c>
      <c r="H44">
        <f t="shared" si="4"/>
        <v>0.90777728752900444</v>
      </c>
      <c r="I44">
        <f t="shared" si="0"/>
        <v>0.85284960451466352</v>
      </c>
      <c r="J44">
        <f t="shared" si="5"/>
        <v>0.80312864421292074</v>
      </c>
      <c r="K44">
        <f t="shared" si="6"/>
        <v>36</v>
      </c>
      <c r="L44">
        <f t="shared" si="7"/>
        <v>47.606388348604391</v>
      </c>
      <c r="R44">
        <f t="shared" si="11"/>
        <v>420</v>
      </c>
      <c r="S44" s="2">
        <f t="shared" si="1"/>
        <v>1.1325286049835286E-4</v>
      </c>
      <c r="T44" s="2">
        <f t="shared" si="2"/>
        <v>0.99173237677507076</v>
      </c>
    </row>
    <row r="45" spans="6:20" x14ac:dyDescent="0.25">
      <c r="F45">
        <f t="shared" si="9"/>
        <v>112</v>
      </c>
      <c r="G45">
        <f t="shared" si="3"/>
        <v>1.346098870025191</v>
      </c>
      <c r="H45">
        <f t="shared" si="4"/>
        <v>0.91086468348416083</v>
      </c>
      <c r="I45">
        <f t="shared" si="0"/>
        <v>0.87175722099993413</v>
      </c>
      <c r="J45">
        <f t="shared" si="5"/>
        <v>0.80832958166543367</v>
      </c>
      <c r="K45">
        <f t="shared" si="6"/>
        <v>37</v>
      </c>
      <c r="L45">
        <f t="shared" si="7"/>
        <v>48.515718143682491</v>
      </c>
      <c r="R45">
        <f t="shared" si="11"/>
        <v>430</v>
      </c>
      <c r="S45" s="2">
        <f t="shared" si="1"/>
        <v>9.809739791045302E-5</v>
      </c>
      <c r="T45" s="2">
        <f t="shared" si="2"/>
        <v>0.99278723349181075</v>
      </c>
    </row>
    <row r="46" spans="6:20" x14ac:dyDescent="0.25">
      <c r="F46">
        <f t="shared" si="9"/>
        <v>113</v>
      </c>
      <c r="G46">
        <f t="shared" si="3"/>
        <v>1.3648384165851701</v>
      </c>
      <c r="H46">
        <f t="shared" si="4"/>
        <v>0.91384807926782052</v>
      </c>
      <c r="I46">
        <f t="shared" si="0"/>
        <v>0.89049676755991325</v>
      </c>
      <c r="J46">
        <f t="shared" si="5"/>
        <v>0.81340039834229905</v>
      </c>
      <c r="K46">
        <f t="shared" si="6"/>
        <v>38</v>
      </c>
      <c r="L46">
        <f t="shared" si="7"/>
        <v>49.428083049902099</v>
      </c>
      <c r="R46">
        <f t="shared" si="11"/>
        <v>440</v>
      </c>
      <c r="S46" s="2">
        <f t="shared" si="1"/>
        <v>8.5048776025667747E-5</v>
      </c>
      <c r="T46" s="2">
        <f t="shared" si="2"/>
        <v>0.99370134179278491</v>
      </c>
    </row>
    <row r="47" spans="6:20" x14ac:dyDescent="0.25">
      <c r="F47">
        <f t="shared" si="9"/>
        <v>114</v>
      </c>
      <c r="G47">
        <f t="shared" si="3"/>
        <v>1.3834128548624334</v>
      </c>
      <c r="H47">
        <f t="shared" si="4"/>
        <v>0.9167308444117177</v>
      </c>
      <c r="I47">
        <f t="shared" si="0"/>
        <v>0.90907120583717649</v>
      </c>
      <c r="J47">
        <f t="shared" si="5"/>
        <v>0.81834372969984615</v>
      </c>
      <c r="K47">
        <f t="shared" si="6"/>
        <v>39</v>
      </c>
      <c r="L47">
        <f t="shared" si="7"/>
        <v>50.343380759712844</v>
      </c>
      <c r="R47">
        <f t="shared" si="11"/>
        <v>450</v>
      </c>
      <c r="S47" s="2">
        <f t="shared" si="1"/>
        <v>7.3804998449584526E-5</v>
      </c>
      <c r="T47" s="2">
        <f t="shared" si="2"/>
        <v>0.99449422026176448</v>
      </c>
    </row>
    <row r="48" spans="6:20" x14ac:dyDescent="0.25">
      <c r="F48">
        <f t="shared" si="9"/>
        <v>115</v>
      </c>
      <c r="G48">
        <f t="shared" si="3"/>
        <v>1.4018250688999352</v>
      </c>
      <c r="H48">
        <f t="shared" si="4"/>
        <v>0.91951625474637377</v>
      </c>
      <c r="I48">
        <f t="shared" si="0"/>
        <v>0.92748341987467831</v>
      </c>
      <c r="J48">
        <f t="shared" si="5"/>
        <v>0.82316220182555622</v>
      </c>
      <c r="K48">
        <f t="shared" si="6"/>
        <v>40</v>
      </c>
      <c r="L48">
        <f t="shared" si="7"/>
        <v>51.261512288150314</v>
      </c>
      <c r="R48">
        <f t="shared" si="11"/>
        <v>460</v>
      </c>
      <c r="S48" s="2">
        <f t="shared" si="1"/>
        <v>6.4108283311254113E-5</v>
      </c>
      <c r="T48" s="2">
        <f t="shared" si="2"/>
        <v>0.9951825944612952</v>
      </c>
    </row>
    <row r="49" spans="6:20" x14ac:dyDescent="0.25">
      <c r="F49">
        <f t="shared" si="9"/>
        <v>116</v>
      </c>
      <c r="G49">
        <f t="shared" si="3"/>
        <v>1.4200778678285269</v>
      </c>
      <c r="H49">
        <f t="shared" si="4"/>
        <v>0.92220749360952714</v>
      </c>
      <c r="I49">
        <f t="shared" si="0"/>
        <v>0.94573621880326997</v>
      </c>
      <c r="J49">
        <f t="shared" si="5"/>
        <v>0.82785842788420083</v>
      </c>
      <c r="K49">
        <f t="shared" si="6"/>
        <v>41</v>
      </c>
      <c r="L49">
        <f t="shared" si="7"/>
        <v>52.182381879728162</v>
      </c>
      <c r="R49">
        <f t="shared" si="11"/>
        <v>470</v>
      </c>
      <c r="S49" s="2">
        <f t="shared" si="1"/>
        <v>5.5738538982178049E-5</v>
      </c>
      <c r="T49" s="2">
        <f t="shared" si="2"/>
        <v>0.9957808056064088</v>
      </c>
    </row>
    <row r="50" spans="6:20" x14ac:dyDescent="0.25">
      <c r="F50">
        <f t="shared" si="9"/>
        <v>117</v>
      </c>
      <c r="G50">
        <f t="shared" si="3"/>
        <v>1.438173988439126</v>
      </c>
      <c r="H50">
        <f t="shared" si="4"/>
        <v>0.92480765317551905</v>
      </c>
      <c r="I50">
        <f t="shared" si="0"/>
        <v>0.96383233941386914</v>
      </c>
      <c r="J50">
        <f t="shared" si="5"/>
        <v>0.83243500486814781</v>
      </c>
      <c r="K50">
        <f t="shared" si="6"/>
        <v>42</v>
      </c>
      <c r="L50">
        <f t="shared" si="7"/>
        <v>53.105896916600749</v>
      </c>
      <c r="R50">
        <f t="shared" si="11"/>
        <v>480</v>
      </c>
      <c r="S50" s="2">
        <f t="shared" si="1"/>
        <v>4.8507789541503786E-5</v>
      </c>
      <c r="T50" s="2">
        <f t="shared" si="2"/>
        <v>0.9963011588598355</v>
      </c>
    </row>
    <row r="51" spans="6:20" x14ac:dyDescent="0.25">
      <c r="F51">
        <f t="shared" si="9"/>
        <v>118</v>
      </c>
      <c r="G51">
        <f t="shared" si="3"/>
        <v>1.4561160976454279</v>
      </c>
      <c r="H51">
        <f t="shared" si="4"/>
        <v>0.92731973588943351</v>
      </c>
      <c r="I51">
        <f t="shared" si="0"/>
        <v>0.98177444862017105</v>
      </c>
      <c r="J51">
        <f t="shared" si="5"/>
        <v>0.83689451063404241</v>
      </c>
      <c r="K51">
        <f t="shared" si="6"/>
        <v>43</v>
      </c>
      <c r="L51">
        <f t="shared" si="7"/>
        <v>54.031967828108669</v>
      </c>
      <c r="R51">
        <f t="shared" si="11"/>
        <v>490</v>
      </c>
      <c r="S51" s="2">
        <f t="shared" si="1"/>
        <v>4.2255419115635536E-5</v>
      </c>
      <c r="T51" s="2">
        <f t="shared" si="2"/>
        <v>0.99675422007881398</v>
      </c>
    </row>
    <row r="52" spans="6:20" x14ac:dyDescent="0.25">
      <c r="F52">
        <f t="shared" si="9"/>
        <v>119</v>
      </c>
      <c r="G52">
        <f t="shared" si="3"/>
        <v>1.4739067948427034</v>
      </c>
      <c r="H52">
        <f t="shared" si="4"/>
        <v>0.9297466559911699</v>
      </c>
      <c r="I52">
        <f t="shared" si="0"/>
        <v>0.99956514581744649</v>
      </c>
      <c r="J52">
        <f t="shared" si="5"/>
        <v>0.84123950120882163</v>
      </c>
      <c r="K52">
        <f t="shared" si="6"/>
        <v>44</v>
      </c>
      <c r="L52">
        <f t="shared" si="7"/>
        <v>54.960508001804584</v>
      </c>
      <c r="R52">
        <f t="shared" si="11"/>
        <v>500</v>
      </c>
      <c r="S52" s="2">
        <f t="shared" si="1"/>
        <v>3.684411955613319E-5</v>
      </c>
      <c r="T52" s="2">
        <f t="shared" si="2"/>
        <v>0.9971490686120752</v>
      </c>
    </row>
    <row r="53" spans="6:20" x14ac:dyDescent="0.25">
      <c r="F53">
        <f t="shared" si="9"/>
        <v>120</v>
      </c>
      <c r="G53">
        <f t="shared" si="3"/>
        <v>1.4915486141678944</v>
      </c>
      <c r="H53">
        <f t="shared" si="4"/>
        <v>0.93209124111590425</v>
      </c>
      <c r="I53">
        <f t="shared" si="0"/>
        <v>1.0172069651426376</v>
      </c>
      <c r="J53">
        <f t="shared" si="5"/>
        <v>0.84547250834876453</v>
      </c>
      <c r="K53">
        <f t="shared" si="6"/>
        <v>45</v>
      </c>
      <c r="L53">
        <f t="shared" si="7"/>
        <v>55.891433696042526</v>
      </c>
      <c r="R53">
        <f t="shared" si="11"/>
        <v>510</v>
      </c>
      <c r="S53" s="2">
        <f t="shared" si="1"/>
        <v>3.2156440394701685E-5</v>
      </c>
      <c r="T53" s="2">
        <f t="shared" si="2"/>
        <v>0.99749351266347352</v>
      </c>
    </row>
    <row r="54" spans="6:20" x14ac:dyDescent="0.25">
      <c r="F54">
        <f t="shared" si="9"/>
        <v>121</v>
      </c>
      <c r="G54">
        <f t="shared" si="3"/>
        <v>1.5090440266659293</v>
      </c>
      <c r="H54">
        <f t="shared" si="4"/>
        <v>0.93435623395858791</v>
      </c>
      <c r="I54">
        <f t="shared" si="0"/>
        <v>1.0347023776406723</v>
      </c>
      <c r="J54">
        <f t="shared" si="5"/>
        <v>0.84959603733601807</v>
      </c>
      <c r="K54">
        <f t="shared" si="6"/>
        <v>46</v>
      </c>
      <c r="L54">
        <f t="shared" si="7"/>
        <v>56.824663954200474</v>
      </c>
    </row>
    <row r="55" spans="6:20" x14ac:dyDescent="0.25">
      <c r="F55">
        <f t="shared" si="9"/>
        <v>122</v>
      </c>
      <c r="G55">
        <f t="shared" si="3"/>
        <v>1.526395442366888</v>
      </c>
      <c r="H55">
        <f t="shared" si="4"/>
        <v>0.93654429399123662</v>
      </c>
      <c r="I55">
        <f t="shared" si="0"/>
        <v>1.052053793341631</v>
      </c>
      <c r="J55">
        <f t="shared" si="5"/>
        <v>0.85361256499775828</v>
      </c>
      <c r="K55">
        <f t="shared" si="6"/>
        <v>47</v>
      </c>
      <c r="L55">
        <f t="shared" si="7"/>
        <v>57.76012052059486</v>
      </c>
    </row>
    <row r="56" spans="6:20" x14ac:dyDescent="0.25">
      <c r="F56">
        <f t="shared" si="9"/>
        <v>123</v>
      </c>
      <c r="G56">
        <f t="shared" si="3"/>
        <v>1.5436052122783768</v>
      </c>
      <c r="H56">
        <f t="shared" si="4"/>
        <v>0.93865799922278248</v>
      </c>
      <c r="I56">
        <f t="shared" si="0"/>
        <v>1.06926356325312</v>
      </c>
      <c r="J56">
        <f t="shared" si="5"/>
        <v>0.85752453793384364</v>
      </c>
      <c r="K56">
        <f t="shared" si="6"/>
        <v>48</v>
      </c>
      <c r="L56">
        <f t="shared" si="7"/>
        <v>58.697727758134484</v>
      </c>
    </row>
    <row r="57" spans="6:20" x14ac:dyDescent="0.25">
      <c r="F57">
        <f t="shared" si="9"/>
        <v>124</v>
      </c>
      <c r="G57">
        <f t="shared" si="3"/>
        <v>1.5606756302972429</v>
      </c>
      <c r="H57">
        <f t="shared" si="4"/>
        <v>0.94069984799221373</v>
      </c>
      <c r="I57">
        <f t="shared" si="0"/>
        <v>1.0863339812719861</v>
      </c>
      <c r="J57">
        <f t="shared" si="5"/>
        <v>0.86133437093951626</v>
      </c>
      <c r="K57">
        <f t="shared" si="6"/>
        <v>49</v>
      </c>
      <c r="L57">
        <f t="shared" si="7"/>
        <v>59.637412567751447</v>
      </c>
    </row>
    <row r="58" spans="6:20" x14ac:dyDescent="0.25">
      <c r="F58" s="4">
        <f t="shared" si="9"/>
        <v>125</v>
      </c>
      <c r="G58" s="4">
        <f t="shared" si="3"/>
        <v>1.5776089350445068</v>
      </c>
      <c r="H58" s="4">
        <f t="shared" si="4"/>
        <v>0.94267226078659971</v>
      </c>
      <c r="I58" s="4">
        <f t="shared" si="0"/>
        <v>1.1032672860192498</v>
      </c>
      <c r="J58" s="4">
        <f t="shared" si="5"/>
        <v>0.86504444561036098</v>
      </c>
      <c r="K58" s="4">
        <f t="shared" si="6"/>
        <v>50</v>
      </c>
      <c r="L58" s="4">
        <f t="shared" si="7"/>
        <v>60.579104309638566</v>
      </c>
    </row>
    <row r="59" spans="6:20" x14ac:dyDescent="0.25">
      <c r="F59">
        <f t="shared" si="9"/>
        <v>126</v>
      </c>
      <c r="G59">
        <f t="shared" si="3"/>
        <v>1.5944073116271891</v>
      </c>
      <c r="H59">
        <f t="shared" si="4"/>
        <v>0.94457758207641063</v>
      </c>
      <c r="I59">
        <f t="shared" si="0"/>
        <v>1.1200656626019323</v>
      </c>
      <c r="J59">
        <f t="shared" si="5"/>
        <v>0.86865710911738869</v>
      </c>
      <c r="K59">
        <f t="shared" si="6"/>
        <v>51</v>
      </c>
      <c r="L59">
        <f t="shared" si="7"/>
        <v>61.5227347263139</v>
      </c>
    </row>
    <row r="60" spans="6:20" x14ac:dyDescent="0.25">
      <c r="F60">
        <f t="shared" si="9"/>
        <v>127</v>
      </c>
      <c r="G60">
        <f t="shared" si="3"/>
        <v>1.6110728933304994</v>
      </c>
      <c r="H60">
        <f t="shared" si="4"/>
        <v>0.94641808216128831</v>
      </c>
      <c r="I60">
        <f t="shared" si="0"/>
        <v>1.1367312443052424</v>
      </c>
      <c r="J60">
        <f t="shared" si="5"/>
        <v>0.87217467314073038</v>
      </c>
      <c r="K60">
        <f t="shared" si="6"/>
        <v>52</v>
      </c>
      <c r="L60">
        <f t="shared" si="7"/>
        <v>62.468237867526632</v>
      </c>
    </row>
    <row r="61" spans="6:20" x14ac:dyDescent="0.25">
      <c r="F61">
        <f t="shared" si="9"/>
        <v>128</v>
      </c>
      <c r="G61">
        <f t="shared" si="3"/>
        <v>1.6276077632436583</v>
      </c>
      <c r="H61">
        <f t="shared" si="4"/>
        <v>0.94819595902011167</v>
      </c>
      <c r="I61">
        <f t="shared" si="0"/>
        <v>1.1532661142184013</v>
      </c>
      <c r="J61">
        <f t="shared" si="5"/>
        <v>0.87559941295103649</v>
      </c>
      <c r="K61">
        <f t="shared" si="6"/>
        <v>53</v>
      </c>
      <c r="L61">
        <f t="shared" si="7"/>
        <v>63.415550017010808</v>
      </c>
    </row>
    <row r="62" spans="6:20" x14ac:dyDescent="0.25">
      <c r="F62">
        <f t="shared" si="9"/>
        <v>129</v>
      </c>
      <c r="G62">
        <f t="shared" si="3"/>
        <v>1.6440139558224602</v>
      </c>
      <c r="H62">
        <f t="shared" si="4"/>
        <v>0.94991334015984297</v>
      </c>
      <c r="I62">
        <f t="shared" si="0"/>
        <v>1.1696723067972035</v>
      </c>
      <c r="J62">
        <f t="shared" si="5"/>
        <v>0.8789335666282565</v>
      </c>
      <c r="K62">
        <f t="shared" si="6"/>
        <v>54</v>
      </c>
      <c r="L62">
        <f t="shared" si="7"/>
        <v>64.364609621089684</v>
      </c>
    </row>
    <row r="63" spans="6:20" x14ac:dyDescent="0.25">
      <c r="F63">
        <f t="shared" si="9"/>
        <v>130</v>
      </c>
      <c r="G63">
        <f t="shared" si="3"/>
        <v>1.6602934583915023</v>
      </c>
      <c r="H63">
        <f t="shared" si="4"/>
        <v>0.95157228445821485</v>
      </c>
      <c r="I63">
        <f t="shared" si="0"/>
        <v>1.1859518093662453</v>
      </c>
      <c r="J63">
        <f t="shared" si="5"/>
        <v>0.88217933440803586</v>
      </c>
      <c r="K63">
        <f t="shared" si="6"/>
        <v>55</v>
      </c>
      <c r="L63">
        <f t="shared" si="7"/>
        <v>65.315357219125559</v>
      </c>
    </row>
    <row r="64" spans="6:20" x14ac:dyDescent="0.25">
      <c r="F64">
        <f t="shared" si="9"/>
        <v>131</v>
      </c>
      <c r="G64">
        <f t="shared" si="3"/>
        <v>1.6764482125888533</v>
      </c>
      <c r="H64">
        <f t="shared" si="4"/>
        <v>0.95317478399586664</v>
      </c>
      <c r="I64">
        <f t="shared" si="0"/>
        <v>1.2021065635635964</v>
      </c>
      <c r="J64">
        <f t="shared" si="5"/>
        <v>0.88533887814650269</v>
      </c>
      <c r="K64">
        <f t="shared" si="6"/>
        <v>56</v>
      </c>
      <c r="L64">
        <f t="shared" si="7"/>
        <v>66.267735375807831</v>
      </c>
    </row>
    <row r="65" spans="6:12" x14ac:dyDescent="0.25">
      <c r="F65">
        <f t="shared" si="9"/>
        <v>132</v>
      </c>
      <c r="G65">
        <f t="shared" si="3"/>
        <v>1.6924801157557929</v>
      </c>
      <c r="H65">
        <f t="shared" si="4"/>
        <v>0.95472276587402427</v>
      </c>
      <c r="I65">
        <f t="shared" si="0"/>
        <v>1.2181384667305362</v>
      </c>
      <c r="J65">
        <f t="shared" si="5"/>
        <v>0.88841432089473638</v>
      </c>
      <c r="K65">
        <f t="shared" si="6"/>
        <v>57</v>
      </c>
      <c r="L65">
        <f t="shared" si="7"/>
        <v>67.221688615266075</v>
      </c>
    </row>
    <row r="66" spans="6:12" x14ac:dyDescent="0.25">
      <c r="F66">
        <f t="shared" si="9"/>
        <v>133</v>
      </c>
      <c r="G66">
        <f t="shared" si="3"/>
        <v>1.7083910222741052</v>
      </c>
      <c r="H66">
        <f t="shared" si="4"/>
        <v>0.95621809401427638</v>
      </c>
      <c r="I66">
        <f t="shared" si="0"/>
        <v>1.2340493732488484</v>
      </c>
      <c r="J66">
        <f t="shared" si="5"/>
        <v>0.89140774657470201</v>
      </c>
      <c r="K66">
        <f t="shared" si="6"/>
        <v>58</v>
      </c>
      <c r="L66">
        <f t="shared" si="7"/>
        <v>68.177163356992111</v>
      </c>
    </row>
    <row r="67" spans="6:12" x14ac:dyDescent="0.25">
      <c r="F67">
        <f t="shared" si="9"/>
        <v>134</v>
      </c>
      <c r="G67">
        <f t="shared" si="3"/>
        <v>1.7241827448532847</v>
      </c>
      <c r="H67">
        <f t="shared" si="4"/>
        <v>0.95766257093741025</v>
      </c>
      <c r="I67">
        <f t="shared" ref="I67:I72" si="12">G67-$D$4*SQRT($H$1)</f>
        <v>1.2498410958280277</v>
      </c>
      <c r="J67">
        <f t="shared" si="5"/>
        <v>0.89432119974890878</v>
      </c>
      <c r="K67">
        <f t="shared" si="6"/>
        <v>59</v>
      </c>
      <c r="L67">
        <f t="shared" si="7"/>
        <v>69.134107853551626</v>
      </c>
    </row>
    <row r="68" spans="6:12" x14ac:dyDescent="0.25">
      <c r="F68">
        <f t="shared" si="9"/>
        <v>135</v>
      </c>
      <c r="G68">
        <f t="shared" ref="G68:G72" si="13">(LN(F68/$C$2)+($D$3+0.5*$D$4^2)*$H$1)/($D$4*SQRT($H$1))</f>
        <v>1.7398570557698925</v>
      </c>
      <c r="H68">
        <f t="shared" ref="H68:H72" si="14">NORMSDIST(G68)</f>
        <v>0.9590579395186567</v>
      </c>
      <c r="I68">
        <f t="shared" si="12"/>
        <v>1.2655154067446355</v>
      </c>
      <c r="J68">
        <f t="shared" ref="J68:J72" si="15">NORMSDIST(I68)</f>
        <v>0.89715668547650052</v>
      </c>
      <c r="K68">
        <f t="shared" ref="K68:K72" si="16">IF(F68-$C$2&gt;0,F68-$C$2,0)</f>
        <v>60</v>
      </c>
      <c r="L68">
        <f t="shared" ref="L68:L72" si="17">F68*H68-$C$2*J68/EXP($D$3*$H$1)</f>
        <v>70.092472130063129</v>
      </c>
    </row>
    <row r="69" spans="6:12" x14ac:dyDescent="0.25">
      <c r="F69">
        <f t="shared" ref="F69:F72" si="18">F68+1</f>
        <v>136</v>
      </c>
      <c r="G69">
        <f t="shared" si="13"/>
        <v>1.7554156880611707</v>
      </c>
      <c r="H69">
        <f t="shared" si="14"/>
        <v>0.96040588471703381</v>
      </c>
      <c r="I69">
        <f t="shared" si="12"/>
        <v>1.2810740390359139</v>
      </c>
      <c r="J69">
        <f t="shared" si="15"/>
        <v>0.89991616924891837</v>
      </c>
      <c r="K69">
        <f t="shared" si="16"/>
        <v>61</v>
      </c>
      <c r="L69">
        <f t="shared" si="17"/>
        <v>71.052207925419225</v>
      </c>
    </row>
    <row r="70" spans="6:12" x14ac:dyDescent="0.25">
      <c r="F70">
        <f t="shared" si="18"/>
        <v>137</v>
      </c>
      <c r="G70">
        <f t="shared" si="13"/>
        <v>1.770860336674944</v>
      </c>
      <c r="H70">
        <f t="shared" si="14"/>
        <v>0.96170803527680371</v>
      </c>
      <c r="I70">
        <f t="shared" si="12"/>
        <v>1.2965186876496873</v>
      </c>
      <c r="J70">
        <f t="shared" si="15"/>
        <v>0.90260157699868748</v>
      </c>
      <c r="K70">
        <f t="shared" si="16"/>
        <v>62</v>
      </c>
      <c r="L70">
        <f t="shared" si="17"/>
        <v>72.013268635223653</v>
      </c>
    </row>
    <row r="71" spans="6:12" x14ac:dyDescent="0.25">
      <c r="F71">
        <f t="shared" si="18"/>
        <v>138</v>
      </c>
      <c r="G71">
        <f t="shared" si="13"/>
        <v>1.7861926595776976</v>
      </c>
      <c r="H71">
        <f t="shared" si="14"/>
        <v>0.96296596539934087</v>
      </c>
      <c r="I71">
        <f t="shared" si="12"/>
        <v>1.3118510105524406</v>
      </c>
      <c r="J71">
        <f t="shared" si="15"/>
        <v>0.90521479517526748</v>
      </c>
      <c r="K71">
        <f t="shared" si="16"/>
        <v>63</v>
      </c>
      <c r="L71">
        <f t="shared" si="17"/>
        <v>72.975609256414856</v>
      </c>
    </row>
    <row r="72" spans="6:12" x14ac:dyDescent="0.25">
      <c r="F72">
        <f t="shared" si="18"/>
        <v>139</v>
      </c>
      <c r="G72">
        <f t="shared" si="13"/>
        <v>1.8014142788226533</v>
      </c>
      <c r="H72">
        <f t="shared" si="14"/>
        <v>0.96418119638397637</v>
      </c>
      <c r="I72">
        <f t="shared" si="12"/>
        <v>1.3270726297973963</v>
      </c>
      <c r="J72">
        <f t="shared" si="15"/>
        <v>0.9077576708822811</v>
      </c>
      <c r="K72">
        <f t="shared" si="16"/>
        <v>64</v>
      </c>
      <c r="L72">
        <f t="shared" si="17"/>
        <v>73.939186333546246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4097" r:id="rId3">
          <objectPr defaultSize="0" autoPict="0" r:id="rId4">
            <anchor moveWithCells="1" sizeWithCells="1">
              <from>
                <xdr:col>0</xdr:col>
                <xdr:colOff>0</xdr:colOff>
                <xdr:row>10</xdr:row>
                <xdr:rowOff>0</xdr:rowOff>
              </from>
              <to>
                <xdr:col>3</xdr:col>
                <xdr:colOff>0</xdr:colOff>
                <xdr:row>11</xdr:row>
                <xdr:rowOff>66675</xdr:rowOff>
              </to>
            </anchor>
          </objectPr>
        </oleObject>
      </mc:Choice>
      <mc:Fallback>
        <oleObject progId="Equation.DSMT4" shapeId="4097" r:id="rId3"/>
      </mc:Fallback>
    </mc:AlternateContent>
    <mc:AlternateContent xmlns:mc="http://schemas.openxmlformats.org/markup-compatibility/2006">
      <mc:Choice Requires="x14">
        <oleObject progId="Equation.DSMT4" shapeId="4098" r:id="rId5">
          <objectPr defaultSize="0" autoPict="0" r:id="rId6">
            <anchor moveWithCells="1" sizeWithCells="1">
              <from>
                <xdr:col>0</xdr:col>
                <xdr:colOff>0</xdr:colOff>
                <xdr:row>13</xdr:row>
                <xdr:rowOff>0</xdr:rowOff>
              </from>
              <to>
                <xdr:col>2</xdr:col>
                <xdr:colOff>466725</xdr:colOff>
                <xdr:row>16</xdr:row>
                <xdr:rowOff>104775</xdr:rowOff>
              </to>
            </anchor>
          </objectPr>
        </oleObject>
      </mc:Choice>
      <mc:Fallback>
        <oleObject progId="Equation.DSMT4" shapeId="4098" r:id="rId5"/>
      </mc:Fallback>
    </mc:AlternateContent>
    <mc:AlternateContent xmlns:mc="http://schemas.openxmlformats.org/markup-compatibility/2006">
      <mc:Choice Requires="x14">
        <oleObject progId="Equation.DSMT4" shapeId="4099" r:id="rId7">
          <objectPr defaultSize="0" autoPict="0" r:id="rId8">
            <anchor moveWithCells="1" sizeWithCells="1">
              <from>
                <xdr:col>2</xdr:col>
                <xdr:colOff>533400</xdr:colOff>
                <xdr:row>13</xdr:row>
                <xdr:rowOff>0</xdr:rowOff>
              </from>
              <to>
                <xdr:col>5</xdr:col>
                <xdr:colOff>428625</xdr:colOff>
                <xdr:row>16</xdr:row>
                <xdr:rowOff>104775</xdr:rowOff>
              </to>
            </anchor>
          </objectPr>
        </oleObject>
      </mc:Choice>
      <mc:Fallback>
        <oleObject progId="Equation.DSMT4" shapeId="4099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Modelo KMV</vt:lpstr>
      <vt:lpstr>Estimar Vol_KMV</vt:lpstr>
      <vt:lpstr>Exemplo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Soares Fonseca</dc:creator>
  <cp:lastModifiedBy>José Alberto Soares da Fonseca</cp:lastModifiedBy>
  <dcterms:created xsi:type="dcterms:W3CDTF">2022-05-19T16:09:12Z</dcterms:created>
  <dcterms:modified xsi:type="dcterms:W3CDTF">2024-05-29T16:17:13Z</dcterms:modified>
</cp:coreProperties>
</file>